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activeTab="5"/>
  </bookViews>
  <sheets>
    <sheet name="2016年" sheetId="5" r:id="rId1"/>
    <sheet name="2017年" sheetId="1" r:id="rId2"/>
    <sheet name="2018年" sheetId="2" r:id="rId3"/>
    <sheet name="2019年" sheetId="3" r:id="rId4"/>
    <sheet name="2020年" sheetId="6" r:id="rId5"/>
    <sheet name="2021年" sheetId="7" r:id="rId6"/>
    <sheet name="Sheet1" sheetId="8" r:id="rId7"/>
    <sheet name="2019秋" sheetId="4" state="hidden" r:id="rId8"/>
  </sheets>
  <definedNames>
    <definedName name="_xlnm._FilterDatabase" localSheetId="1" hidden="1">'2017年'!$W$5:$W$13</definedName>
  </definedNames>
  <calcPr calcId="144525"/>
</workbook>
</file>

<file path=xl/sharedStrings.xml><?xml version="1.0" encoding="utf-8"?>
<sst xmlns="http://schemas.openxmlformats.org/spreadsheetml/2006/main" count="277" uniqueCount="129">
  <si>
    <t>2016年宁都县学生资助情况统计表</t>
  </si>
  <si>
    <t>资助项目</t>
  </si>
  <si>
    <t>总人次</t>
  </si>
  <si>
    <t>总金额</t>
  </si>
  <si>
    <t>其中建档立卡总人次</t>
  </si>
  <si>
    <t>其中建档立卡总金额</t>
  </si>
  <si>
    <t>上级资金</t>
  </si>
  <si>
    <t>县本级财政年初预算安排</t>
  </si>
  <si>
    <t>县教育附加安排</t>
  </si>
  <si>
    <t>县扶贫办追加</t>
  </si>
  <si>
    <t>县本级财政资金小计</t>
  </si>
  <si>
    <t>秋季资助文号</t>
  </si>
  <si>
    <t>义务教育贫困寄宿生生活补助</t>
  </si>
  <si>
    <t>宁教字（2016）302号</t>
  </si>
  <si>
    <t>普高国家助学金</t>
  </si>
  <si>
    <t>宁教字（2016）270号</t>
  </si>
  <si>
    <t>普高免学费</t>
  </si>
  <si>
    <t>中职国家助学金</t>
  </si>
  <si>
    <t>宁教字（2016）282</t>
  </si>
  <si>
    <t>中职免学费</t>
  </si>
  <si>
    <t>学前教育国家助学金</t>
  </si>
  <si>
    <t>宁教字（2016）277</t>
  </si>
  <si>
    <t>高考政府资助金</t>
  </si>
  <si>
    <t>高考新生入学路费</t>
  </si>
  <si>
    <t>合  计</t>
  </si>
  <si>
    <t>助学贷款3135人，2488.73万。</t>
  </si>
  <si>
    <t>宁都县2017年资助情况汇总表</t>
  </si>
  <si>
    <t>春季（宁教字[2017]189号、宁教字[2017]85号、宁教字[2017]190号）</t>
  </si>
  <si>
    <t>秋季（宁教字[2017]330号、宁教字[2017]318号、宁教字[2017]319号、宁教字[2017]336号）</t>
  </si>
  <si>
    <t>第一次补发建档立卡（宁教字[2017]349号）</t>
  </si>
  <si>
    <t>第二次补发建档立卡（宁教字[2017]360号）</t>
  </si>
  <si>
    <t>第三次补建档立卡（宁教字[2018]2号）</t>
  </si>
  <si>
    <t>总人数</t>
  </si>
  <si>
    <t>其中建档立卡人数</t>
  </si>
  <si>
    <t>其中建档立卡金额</t>
  </si>
  <si>
    <t>春季人数</t>
  </si>
  <si>
    <t>春季金额</t>
  </si>
  <si>
    <t>秋季人数</t>
  </si>
  <si>
    <t>秋季金额</t>
  </si>
  <si>
    <t>表1人数</t>
  </si>
  <si>
    <t>表1金额</t>
  </si>
  <si>
    <t>表2人数</t>
  </si>
  <si>
    <t>表2金额</t>
  </si>
  <si>
    <t>人数</t>
  </si>
  <si>
    <t>金额</t>
  </si>
  <si>
    <t>义务教育寄宿生生活补助</t>
  </si>
  <si>
    <t>学前国家助学金</t>
  </si>
  <si>
    <t>政府资助金</t>
  </si>
  <si>
    <t>路费</t>
  </si>
  <si>
    <t>合计</t>
  </si>
  <si>
    <t>助学贷款</t>
  </si>
  <si>
    <t>宁都县2018年资助情况汇总表</t>
  </si>
  <si>
    <t>单位：人、万元</t>
  </si>
  <si>
    <t>春季（宁教字[2018]122号）</t>
  </si>
  <si>
    <t>第一次补发建档立卡（宁教字[2018]182号）</t>
  </si>
  <si>
    <t>第二次补发建档立卡（宁教字[2018]201号）</t>
  </si>
  <si>
    <t>第三次补发建档立卡（宁教字[2018]212号）</t>
  </si>
  <si>
    <t>第四次补发建档立卡（宁教字[2018]269号）</t>
  </si>
  <si>
    <t>秋季（宁教字[2018]312）</t>
  </si>
  <si>
    <t>第五批（宁教字[2018]346号)</t>
  </si>
  <si>
    <t>第六批(宁教字[2018]360号)</t>
  </si>
  <si>
    <t>第七批(宁教字[2018]389号)其中政府资助金项152人，但实际只拨款68人，40.8万元。其余84人在2018指标内。</t>
  </si>
  <si>
    <t>2015-2018总人数</t>
  </si>
  <si>
    <t>2015-2018总金额</t>
  </si>
  <si>
    <t>秋季发放</t>
  </si>
  <si>
    <t>秋季人次</t>
  </si>
  <si>
    <t>其中建档立卡人次</t>
  </si>
  <si>
    <t>宁都县2019年教育扶贫学生资助情况汇总表</t>
  </si>
  <si>
    <t>单位：人、元</t>
  </si>
  <si>
    <r>
      <rPr>
        <sz val="12"/>
        <color theme="1"/>
        <rFont val="宋体"/>
        <charset val="134"/>
      </rPr>
      <t>资助项目</t>
    </r>
  </si>
  <si>
    <r>
      <rPr>
        <sz val="12"/>
        <color rgb="FFFF0000"/>
        <rFont val="宋体"/>
        <charset val="134"/>
      </rPr>
      <t>第一次补发（宁教科体字</t>
    </r>
    <r>
      <rPr>
        <sz val="12"/>
        <color rgb="FFFF0000"/>
        <rFont val="Times New Roman"/>
        <charset val="134"/>
      </rPr>
      <t>[2019]19</t>
    </r>
    <r>
      <rPr>
        <sz val="12"/>
        <color rgb="FFFF0000"/>
        <rFont val="宋体"/>
        <charset val="134"/>
      </rPr>
      <t>号）</t>
    </r>
  </si>
  <si>
    <r>
      <rPr>
        <sz val="12"/>
        <color rgb="FFFF0000"/>
        <rFont val="宋体"/>
        <charset val="134"/>
      </rPr>
      <t>第二次补发（宁教科体字</t>
    </r>
    <r>
      <rPr>
        <sz val="12"/>
        <color rgb="FFFF0000"/>
        <rFont val="Times New Roman"/>
        <charset val="134"/>
      </rPr>
      <t>[2019]60</t>
    </r>
    <r>
      <rPr>
        <sz val="12"/>
        <color rgb="FFFF0000"/>
        <rFont val="宋体"/>
        <charset val="134"/>
      </rPr>
      <t>号）</t>
    </r>
  </si>
  <si>
    <r>
      <rPr>
        <sz val="12"/>
        <color rgb="FFFF0000"/>
        <rFont val="Times New Roman"/>
        <charset val="134"/>
      </rPr>
      <t>2019</t>
    </r>
    <r>
      <rPr>
        <sz val="12"/>
        <color rgb="FFFF0000"/>
        <rFont val="宋体"/>
        <charset val="134"/>
      </rPr>
      <t>春正常发放（宁教科体字</t>
    </r>
    <r>
      <rPr>
        <sz val="12"/>
        <color rgb="FFFF0000"/>
        <rFont val="Times New Roman"/>
        <charset val="134"/>
      </rPr>
      <t>[2019]61</t>
    </r>
    <r>
      <rPr>
        <sz val="12"/>
        <color rgb="FFFF0000"/>
        <rFont val="宋体"/>
        <charset val="134"/>
      </rPr>
      <t>号）</t>
    </r>
  </si>
  <si>
    <r>
      <rPr>
        <sz val="12"/>
        <color rgb="FFFF0000"/>
        <rFont val="宋体"/>
        <charset val="134"/>
      </rPr>
      <t>第三次补发（宁教科体字</t>
    </r>
    <r>
      <rPr>
        <sz val="12"/>
        <color rgb="FFFF0000"/>
        <rFont val="Times New Roman"/>
        <charset val="134"/>
      </rPr>
      <t>[2019]93</t>
    </r>
    <r>
      <rPr>
        <sz val="12"/>
        <color rgb="FFFF0000"/>
        <rFont val="宋体"/>
        <charset val="134"/>
      </rPr>
      <t>号）</t>
    </r>
  </si>
  <si>
    <r>
      <rPr>
        <sz val="12"/>
        <color rgb="FFFF0000"/>
        <rFont val="宋体"/>
        <charset val="134"/>
      </rPr>
      <t>第四次补发（宁教科体字</t>
    </r>
    <r>
      <rPr>
        <sz val="12"/>
        <color rgb="FFFF0000"/>
        <rFont val="Times New Roman"/>
        <charset val="134"/>
      </rPr>
      <t>[2019]149</t>
    </r>
    <r>
      <rPr>
        <sz val="12"/>
        <color rgb="FFFF0000"/>
        <rFont val="宋体"/>
        <charset val="134"/>
      </rPr>
      <t>号）</t>
    </r>
  </si>
  <si>
    <r>
      <rPr>
        <sz val="12"/>
        <color rgb="FFFF0000"/>
        <rFont val="宋体"/>
        <charset val="134"/>
      </rPr>
      <t>第五次补发（宁教科体字</t>
    </r>
    <r>
      <rPr>
        <sz val="12"/>
        <color rgb="FFFF0000"/>
        <rFont val="Times New Roman"/>
        <charset val="134"/>
      </rPr>
      <t>[2019]207</t>
    </r>
    <r>
      <rPr>
        <sz val="12"/>
        <color rgb="FFFF0000"/>
        <rFont val="宋体"/>
        <charset val="134"/>
      </rPr>
      <t>号）</t>
    </r>
  </si>
  <si>
    <r>
      <rPr>
        <sz val="12"/>
        <color rgb="FFFF0000"/>
        <rFont val="Times New Roman"/>
        <charset val="134"/>
      </rPr>
      <t>2019</t>
    </r>
    <r>
      <rPr>
        <sz val="12"/>
        <color rgb="FFFF0000"/>
        <rFont val="宋体"/>
        <charset val="134"/>
      </rPr>
      <t>秋正常发放（宁教科体字</t>
    </r>
    <r>
      <rPr>
        <sz val="12"/>
        <color rgb="FFFF0000"/>
        <rFont val="Times New Roman"/>
        <charset val="134"/>
      </rPr>
      <t>[2019]220</t>
    </r>
    <r>
      <rPr>
        <sz val="12"/>
        <color rgb="FFFF0000"/>
        <rFont val="宋体"/>
        <charset val="134"/>
      </rPr>
      <t>号）</t>
    </r>
  </si>
  <si>
    <r>
      <rPr>
        <sz val="12"/>
        <color rgb="FFFF0000"/>
        <rFont val="宋体"/>
        <charset val="134"/>
      </rPr>
      <t>第六次补发（宁教科体字</t>
    </r>
    <r>
      <rPr>
        <sz val="12"/>
        <color rgb="FFFF0000"/>
        <rFont val="Times New Roman"/>
        <charset val="134"/>
      </rPr>
      <t>250</t>
    </r>
    <r>
      <rPr>
        <sz val="12"/>
        <color rgb="FFFF0000"/>
        <rFont val="宋体"/>
        <charset val="134"/>
      </rPr>
      <t>号）</t>
    </r>
  </si>
  <si>
    <r>
      <rPr>
        <sz val="12"/>
        <color theme="1"/>
        <rFont val="宋体"/>
        <charset val="134"/>
      </rPr>
      <t>总人次</t>
    </r>
  </si>
  <si>
    <r>
      <rPr>
        <sz val="12"/>
        <color theme="1"/>
        <rFont val="宋体"/>
        <charset val="134"/>
      </rPr>
      <t>总金额</t>
    </r>
  </si>
  <si>
    <r>
      <rPr>
        <sz val="12"/>
        <color theme="1"/>
        <rFont val="宋体"/>
        <charset val="134"/>
      </rPr>
      <t>其中建档立卡总人次</t>
    </r>
  </si>
  <si>
    <r>
      <rPr>
        <sz val="12"/>
        <color theme="1"/>
        <rFont val="宋体"/>
        <charset val="134"/>
      </rPr>
      <t>其中建档立卡总金额</t>
    </r>
  </si>
  <si>
    <r>
      <rPr>
        <sz val="12"/>
        <color theme="1"/>
        <rFont val="宋体"/>
        <charset val="134"/>
      </rPr>
      <t>补发人数</t>
    </r>
  </si>
  <si>
    <r>
      <rPr>
        <sz val="12"/>
        <color theme="1"/>
        <rFont val="宋体"/>
        <charset val="134"/>
      </rPr>
      <t>补发金额</t>
    </r>
  </si>
  <si>
    <r>
      <rPr>
        <sz val="12"/>
        <color theme="1"/>
        <rFont val="宋体"/>
        <charset val="134"/>
      </rPr>
      <t>兜底人数</t>
    </r>
  </si>
  <si>
    <r>
      <rPr>
        <sz val="12"/>
        <color theme="1"/>
        <rFont val="宋体"/>
        <charset val="134"/>
      </rPr>
      <t>兜底金额</t>
    </r>
  </si>
  <si>
    <r>
      <rPr>
        <sz val="12"/>
        <color theme="1"/>
        <rFont val="宋体"/>
        <charset val="134"/>
      </rPr>
      <t>总人数</t>
    </r>
  </si>
  <si>
    <r>
      <rPr>
        <sz val="12"/>
        <color theme="1"/>
        <rFont val="宋体"/>
        <charset val="134"/>
      </rPr>
      <t>其中建档立卡人数</t>
    </r>
  </si>
  <si>
    <r>
      <rPr>
        <sz val="12"/>
        <color theme="1"/>
        <rFont val="宋体"/>
        <charset val="134"/>
      </rPr>
      <t>其中建档立卡金额</t>
    </r>
  </si>
  <si>
    <r>
      <rPr>
        <sz val="11"/>
        <rFont val="宋体"/>
        <charset val="134"/>
      </rPr>
      <t>义务寄宿生生活补助</t>
    </r>
  </si>
  <si>
    <r>
      <rPr>
        <sz val="11"/>
        <rFont val="宋体"/>
        <charset val="134"/>
      </rPr>
      <t>义务走读生生活补助</t>
    </r>
  </si>
  <si>
    <r>
      <rPr>
        <sz val="11"/>
        <rFont val="宋体"/>
        <charset val="134"/>
      </rPr>
      <t>普高国家助学金</t>
    </r>
  </si>
  <si>
    <r>
      <rPr>
        <sz val="11"/>
        <rFont val="宋体"/>
        <charset val="134"/>
      </rPr>
      <t>普高免学费</t>
    </r>
  </si>
  <si>
    <r>
      <rPr>
        <sz val="11"/>
        <rFont val="宋体"/>
        <charset val="134"/>
      </rPr>
      <t>中职国家助学金</t>
    </r>
  </si>
  <si>
    <r>
      <rPr>
        <sz val="11"/>
        <rFont val="宋体"/>
        <charset val="134"/>
      </rPr>
      <t>中职免学费</t>
    </r>
  </si>
  <si>
    <r>
      <rPr>
        <sz val="11"/>
        <rFont val="宋体"/>
        <charset val="134"/>
      </rPr>
      <t>学前国家助学金</t>
    </r>
  </si>
  <si>
    <r>
      <rPr>
        <sz val="11"/>
        <rFont val="宋体"/>
        <charset val="134"/>
      </rPr>
      <t>政府资助金</t>
    </r>
  </si>
  <si>
    <r>
      <rPr>
        <sz val="11"/>
        <rFont val="宋体"/>
        <charset val="134"/>
      </rPr>
      <t>路费</t>
    </r>
  </si>
  <si>
    <r>
      <rPr>
        <sz val="11"/>
        <rFont val="宋体"/>
        <charset val="134"/>
      </rPr>
      <t>合计</t>
    </r>
  </si>
  <si>
    <r>
      <rPr>
        <sz val="12"/>
        <color theme="1"/>
        <rFont val="宋体"/>
        <charset val="134"/>
      </rPr>
      <t>助学贷款</t>
    </r>
  </si>
  <si>
    <t>宁都县2020年教育扶贫学生资助情况汇总表</t>
  </si>
  <si>
    <t>单位：人次，元。</t>
  </si>
  <si>
    <r>
      <rPr>
        <sz val="12"/>
        <rFont val="宋体"/>
        <charset val="134"/>
      </rPr>
      <t>第一次补发（宁教科体字</t>
    </r>
    <r>
      <rPr>
        <sz val="12"/>
        <rFont val="Times New Roman"/>
        <charset val="134"/>
      </rPr>
      <t>[2020]10</t>
    </r>
    <r>
      <rPr>
        <sz val="12"/>
        <rFont val="宋体"/>
        <charset val="134"/>
      </rPr>
      <t>号）</t>
    </r>
  </si>
  <si>
    <r>
      <rPr>
        <sz val="12"/>
        <rFont val="宋体"/>
        <charset val="134"/>
      </rPr>
      <t>第二次补发（宁教科体字</t>
    </r>
    <r>
      <rPr>
        <sz val="12"/>
        <rFont val="Times New Roman"/>
        <charset val="134"/>
      </rPr>
      <t>[2020]39</t>
    </r>
    <r>
      <rPr>
        <sz val="12"/>
        <rFont val="宋体"/>
        <charset val="134"/>
      </rPr>
      <t>号）</t>
    </r>
  </si>
  <si>
    <r>
      <rPr>
        <sz val="12"/>
        <rFont val="宋体"/>
        <charset val="134"/>
      </rPr>
      <t>第三次补发（宁教科体字</t>
    </r>
    <r>
      <rPr>
        <sz val="12"/>
        <rFont val="Times New Roman"/>
        <charset val="134"/>
      </rPr>
      <t>[2020]55</t>
    </r>
    <r>
      <rPr>
        <sz val="12"/>
        <rFont val="宋体"/>
        <charset val="134"/>
      </rPr>
      <t>号）</t>
    </r>
  </si>
  <si>
    <t>春季正常发放（宁教科体字[2020]100号）</t>
  </si>
  <si>
    <r>
      <rPr>
        <sz val="12"/>
        <rFont val="宋体"/>
        <charset val="134"/>
      </rPr>
      <t>第四次补发（宁教科体字</t>
    </r>
    <r>
      <rPr>
        <sz val="12"/>
        <rFont val="Times New Roman"/>
        <charset val="134"/>
      </rPr>
      <t>[2020]132</t>
    </r>
    <r>
      <rPr>
        <sz val="12"/>
        <rFont val="宋体"/>
        <charset val="134"/>
      </rPr>
      <t>号）</t>
    </r>
  </si>
  <si>
    <t>秋季正常发放（宁教科体字[2020]195号）（中职秋季正常发放在第五批补中）</t>
  </si>
  <si>
    <r>
      <rPr>
        <sz val="12"/>
        <rFont val="宋体"/>
        <charset val="134"/>
      </rPr>
      <t>第五次补发（宁教科体字</t>
    </r>
    <r>
      <rPr>
        <sz val="12"/>
        <rFont val="Times New Roman"/>
        <charset val="134"/>
      </rPr>
      <t>[2020]221</t>
    </r>
    <r>
      <rPr>
        <sz val="12"/>
        <rFont val="宋体"/>
        <charset val="134"/>
      </rPr>
      <t>号）</t>
    </r>
  </si>
  <si>
    <t>补发人数</t>
  </si>
  <si>
    <t>补发金额</t>
  </si>
  <si>
    <t>义务寄宿生生活补助</t>
  </si>
  <si>
    <t>义务走读生生活补助</t>
  </si>
  <si>
    <t>宁都县2021年教育扶贫学生资助情况汇总表</t>
  </si>
  <si>
    <t>春季正常发放（宁教科体字[2021]61号）</t>
  </si>
  <si>
    <t>近几年政府资助及生源地助学贷款情况统计</t>
  </si>
  <si>
    <t>年份</t>
  </si>
  <si>
    <t>政府资助</t>
  </si>
  <si>
    <t>生源地助学贷款</t>
  </si>
  <si>
    <t>宁都县2019年秋季资助情况汇总统计表</t>
  </si>
  <si>
    <t>备注</t>
  </si>
  <si>
    <t>义务教育生活补助</t>
  </si>
  <si>
    <t>寄宿生6154人，走读生16525；城镇贫困1388人，其他贫困209人。</t>
  </si>
  <si>
    <t>城镇贫困260人，其他贫困36人。</t>
  </si>
  <si>
    <t>城镇贫困262人，其他贫困无。</t>
  </si>
  <si>
    <t>城镇贫困1人，其他贫困699人。</t>
  </si>
  <si>
    <t>城镇贫困12人，其他贫困769人。</t>
  </si>
  <si>
    <t>城镇贫困231人，其他贫困39人。</t>
  </si>
  <si>
    <t>城镇贫困2152人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</si>
</sst>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_ "/>
  </numFmts>
  <fonts count="6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宋体"/>
      <charset val="134"/>
    </font>
    <font>
      <sz val="14"/>
      <name val="宋体"/>
      <charset val="134"/>
      <scheme val="minor"/>
    </font>
    <font>
      <sz val="12"/>
      <name val="仿宋_GB2312"/>
      <charset val="134"/>
    </font>
    <font>
      <sz val="16"/>
      <color theme="1"/>
      <name val="黑体"/>
      <charset val="134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rgb="FFFF0000"/>
      <name val="Times New Roman"/>
      <charset val="134"/>
    </font>
    <font>
      <sz val="14"/>
      <name val="Times New Roman"/>
      <charset val="134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color rgb="FFFF0000"/>
      <name val="Times New Roman"/>
      <charset val="134"/>
    </font>
    <font>
      <sz val="12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rgb="FFFF0000"/>
      <name val="Times New Roman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b/>
      <sz val="16"/>
      <color theme="1"/>
      <name val="黑体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9"/>
      <name val="宋体"/>
      <charset val="134"/>
      <scheme val="minor"/>
    </font>
    <font>
      <sz val="14"/>
      <color theme="1"/>
      <name val="黑体"/>
      <charset val="134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1"/>
      <color theme="9"/>
      <name val="宋体"/>
      <charset val="134"/>
      <scheme val="minor"/>
    </font>
    <font>
      <sz val="11"/>
      <color theme="5" tint="-0.25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4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54" fillId="24" borderId="13" applyNumberFormat="0" applyAlignment="0" applyProtection="0">
      <alignment vertical="center"/>
    </xf>
    <xf numFmtId="0" fontId="55" fillId="24" borderId="8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58" fillId="0" borderId="0"/>
  </cellStyleXfs>
  <cellXfs count="8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1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176" fontId="2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right" vertical="center" wrapText="1"/>
    </xf>
    <xf numFmtId="0" fontId="29" fillId="0" borderId="1" xfId="0" applyFont="1" applyBorder="1" applyAlignment="1">
      <alignment horizontal="right" vertical="center" wrapText="1"/>
    </xf>
    <xf numFmtId="0" fontId="30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right" vertical="center" wrapText="1"/>
    </xf>
    <xf numFmtId="0" fontId="36" fillId="0" borderId="1" xfId="0" applyFont="1" applyBorder="1" applyAlignment="1">
      <alignment horizontal="right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38" fillId="0" borderId="1" xfId="0" applyFont="1" applyBorder="1" applyAlignment="1">
      <alignment horizontal="right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29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9" fillId="0" borderId="1" xfId="0" applyFont="1" applyFill="1" applyBorder="1" applyAlignment="1">
      <alignment horizontal="right" vertical="center" wrapText="1"/>
    </xf>
    <xf numFmtId="0" fontId="29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opLeftCell="A4" workbookViewId="0">
      <selection activeCell="B12" sqref="B12:C12"/>
    </sheetView>
  </sheetViews>
  <sheetFormatPr defaultColWidth="8.89166666666667" defaultRowHeight="13.5"/>
  <cols>
    <col min="1" max="1" width="30.8916666666667" customWidth="1"/>
    <col min="2" max="2" width="13.8916666666667" customWidth="1"/>
    <col min="3" max="3" width="15" customWidth="1"/>
    <col min="4" max="4" width="10.6666666666667" hidden="1" customWidth="1"/>
    <col min="5" max="5" width="9" hidden="1" customWidth="1"/>
    <col min="6" max="6" width="11.225" hidden="1" customWidth="1"/>
    <col min="7" max="7" width="12.8916666666667" hidden="1" customWidth="1"/>
    <col min="8" max="8" width="10.225" hidden="1" customWidth="1"/>
    <col min="9" max="9" width="10.3333333333333" hidden="1" customWidth="1"/>
    <col min="10" max="10" width="9" hidden="1" customWidth="1"/>
    <col min="11" max="11" width="24.1083333333333" customWidth="1"/>
  </cols>
  <sheetData>
    <row r="1" ht="51" customHeight="1" spans="1:1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="75" customFormat="1" ht="14.25" spans="1:11">
      <c r="A2" s="13" t="s">
        <v>1</v>
      </c>
      <c r="B2" s="13" t="s">
        <v>2</v>
      </c>
      <c r="C2" s="13" t="s">
        <v>3</v>
      </c>
      <c r="D2" s="77" t="s">
        <v>4</v>
      </c>
      <c r="E2" s="77" t="s">
        <v>5</v>
      </c>
      <c r="F2" s="77" t="s">
        <v>6</v>
      </c>
      <c r="G2" s="77" t="s">
        <v>7</v>
      </c>
      <c r="H2" s="78" t="s">
        <v>8</v>
      </c>
      <c r="I2" s="77" t="s">
        <v>9</v>
      </c>
      <c r="J2" s="77" t="s">
        <v>10</v>
      </c>
      <c r="K2" s="13" t="s">
        <v>11</v>
      </c>
    </row>
    <row r="3" s="75" customFormat="1" ht="37" customHeight="1" spans="1:11">
      <c r="A3" s="13"/>
      <c r="B3" s="13"/>
      <c r="C3" s="13"/>
      <c r="D3" s="77"/>
      <c r="E3" s="77"/>
      <c r="F3" s="77"/>
      <c r="G3" s="77"/>
      <c r="H3" s="79"/>
      <c r="I3" s="77"/>
      <c r="J3" s="77"/>
      <c r="K3" s="13"/>
    </row>
    <row r="4" s="75" customFormat="1" ht="33" customHeight="1" spans="1:11">
      <c r="A4" s="77" t="s">
        <v>12</v>
      </c>
      <c r="B4" s="77">
        <v>13671</v>
      </c>
      <c r="C4" s="77">
        <v>962.96</v>
      </c>
      <c r="D4" s="77">
        <v>1293</v>
      </c>
      <c r="E4" s="77">
        <v>193.95</v>
      </c>
      <c r="F4" s="77">
        <v>866.32</v>
      </c>
      <c r="G4" s="77">
        <v>44.92</v>
      </c>
      <c r="H4" s="80">
        <v>51.72</v>
      </c>
      <c r="I4" s="82"/>
      <c r="J4" s="77">
        <v>96.64</v>
      </c>
      <c r="K4" s="83" t="s">
        <v>13</v>
      </c>
    </row>
    <row r="5" s="75" customFormat="1" ht="33" customHeight="1" spans="1:11">
      <c r="A5" s="77" t="s">
        <v>14</v>
      </c>
      <c r="B5" s="77">
        <v>4987</v>
      </c>
      <c r="C5" s="77">
        <v>498.7</v>
      </c>
      <c r="D5" s="77">
        <v>883</v>
      </c>
      <c r="E5" s="77">
        <v>176.6</v>
      </c>
      <c r="F5" s="77">
        <v>398.96</v>
      </c>
      <c r="G5" s="77">
        <v>99.74</v>
      </c>
      <c r="H5" s="77"/>
      <c r="I5" s="82"/>
      <c r="J5" s="77">
        <v>99.74</v>
      </c>
      <c r="K5" s="83" t="s">
        <v>15</v>
      </c>
    </row>
    <row r="6" s="75" customFormat="1" ht="33" customHeight="1" spans="1:11">
      <c r="A6" s="77" t="s">
        <v>16</v>
      </c>
      <c r="B6" s="77">
        <v>1356</v>
      </c>
      <c r="C6" s="77">
        <v>48.478</v>
      </c>
      <c r="D6" s="77">
        <v>883</v>
      </c>
      <c r="E6" s="77">
        <v>31.56</v>
      </c>
      <c r="F6" s="77">
        <v>25.5</v>
      </c>
      <c r="G6" s="77">
        <v>0</v>
      </c>
      <c r="H6" s="77">
        <v>22.978</v>
      </c>
      <c r="I6" s="82"/>
      <c r="J6" s="77">
        <v>22.978</v>
      </c>
      <c r="K6" s="83"/>
    </row>
    <row r="7" s="75" customFormat="1" ht="33" customHeight="1" spans="1:11">
      <c r="A7" s="77" t="s">
        <v>17</v>
      </c>
      <c r="B7" s="77">
        <v>487</v>
      </c>
      <c r="C7" s="77">
        <v>48.7</v>
      </c>
      <c r="D7" s="77">
        <v>94</v>
      </c>
      <c r="E7" s="77">
        <v>7.99</v>
      </c>
      <c r="F7" s="77">
        <v>40.908</v>
      </c>
      <c r="G7" s="77">
        <v>7.792</v>
      </c>
      <c r="H7" s="77"/>
      <c r="I7" s="82"/>
      <c r="J7" s="77">
        <v>7.792</v>
      </c>
      <c r="K7" s="83" t="s">
        <v>18</v>
      </c>
    </row>
    <row r="8" s="75" customFormat="1" ht="33" customHeight="1" spans="1:11">
      <c r="A8" s="77" t="s">
        <v>19</v>
      </c>
      <c r="B8" s="77">
        <v>735</v>
      </c>
      <c r="C8" s="77">
        <v>31.2375</v>
      </c>
      <c r="D8" s="77">
        <v>65</v>
      </c>
      <c r="E8" s="77">
        <v>13</v>
      </c>
      <c r="F8" s="77">
        <v>31.2375</v>
      </c>
      <c r="G8" s="77">
        <v>0</v>
      </c>
      <c r="H8" s="77"/>
      <c r="I8" s="82"/>
      <c r="J8" s="77">
        <v>0</v>
      </c>
      <c r="K8" s="83"/>
    </row>
    <row r="9" s="75" customFormat="1" ht="33" customHeight="1" spans="1:11">
      <c r="A9" s="77" t="s">
        <v>20</v>
      </c>
      <c r="B9" s="77">
        <v>1396</v>
      </c>
      <c r="C9" s="77">
        <v>139.6</v>
      </c>
      <c r="D9" s="77">
        <v>341</v>
      </c>
      <c r="E9" s="77">
        <v>51.15</v>
      </c>
      <c r="F9" s="77">
        <v>139.6</v>
      </c>
      <c r="G9" s="77">
        <v>0</v>
      </c>
      <c r="H9" s="77"/>
      <c r="I9" s="82"/>
      <c r="J9" s="77">
        <v>0</v>
      </c>
      <c r="K9" s="83" t="s">
        <v>21</v>
      </c>
    </row>
    <row r="10" s="75" customFormat="1" ht="33" customHeight="1" spans="1:11">
      <c r="A10" s="77" t="s">
        <v>22</v>
      </c>
      <c r="B10" s="77">
        <v>325</v>
      </c>
      <c r="C10" s="77">
        <v>195</v>
      </c>
      <c r="D10" s="77">
        <v>89</v>
      </c>
      <c r="E10" s="77">
        <v>53.4</v>
      </c>
      <c r="F10" s="77">
        <v>188.5</v>
      </c>
      <c r="G10" s="77">
        <v>6.5</v>
      </c>
      <c r="H10" s="77"/>
      <c r="I10" s="82"/>
      <c r="J10" s="77">
        <v>6.5</v>
      </c>
      <c r="K10" s="83"/>
    </row>
    <row r="11" s="75" customFormat="1" ht="33" customHeight="1" spans="1:11">
      <c r="A11" s="77" t="s">
        <v>23</v>
      </c>
      <c r="B11" s="77">
        <v>97</v>
      </c>
      <c r="C11" s="77">
        <v>6.55</v>
      </c>
      <c r="D11" s="77">
        <v>0</v>
      </c>
      <c r="E11" s="77">
        <v>0</v>
      </c>
      <c r="F11" s="77">
        <v>6.55</v>
      </c>
      <c r="G11" s="77">
        <v>0</v>
      </c>
      <c r="H11" s="77"/>
      <c r="I11" s="82"/>
      <c r="J11" s="77">
        <v>0</v>
      </c>
      <c r="K11" s="83"/>
    </row>
    <row r="12" s="75" customFormat="1" ht="33" customHeight="1" spans="1:11">
      <c r="A12" s="13" t="s">
        <v>24</v>
      </c>
      <c r="B12" s="13">
        <v>23054</v>
      </c>
      <c r="C12" s="13">
        <v>1931.2305</v>
      </c>
      <c r="D12" s="13">
        <v>3648</v>
      </c>
      <c r="E12" s="13">
        <v>527.65</v>
      </c>
      <c r="F12" s="13">
        <v>1697.5755</v>
      </c>
      <c r="G12" s="13">
        <v>158.952</v>
      </c>
      <c r="H12" s="13">
        <v>74.698</v>
      </c>
      <c r="I12" s="13"/>
      <c r="J12" s="13">
        <v>233.65</v>
      </c>
      <c r="K12" s="83"/>
    </row>
    <row r="13" s="75" customFormat="1" ht="33" customHeight="1" spans="1:11">
      <c r="A13" s="81" t="s">
        <v>25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</row>
  </sheetData>
  <mergeCells count="13">
    <mergeCell ref="A1:K1"/>
    <mergeCell ref="A13:K1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14"/>
  <sheetViews>
    <sheetView workbookViewId="0">
      <pane xSplit="1" ySplit="4" topLeftCell="B11" activePane="bottomRight" state="frozen"/>
      <selection/>
      <selection pane="topRight"/>
      <selection pane="bottomLeft"/>
      <selection pane="bottomRight" activeCell="X13" sqref="X13:Y13"/>
    </sheetView>
  </sheetViews>
  <sheetFormatPr defaultColWidth="8.89166666666667" defaultRowHeight="14.25"/>
  <cols>
    <col min="1" max="1" width="11.1333333333333" style="48" customWidth="1"/>
    <col min="2" max="2" width="6.66666666666667" style="48" customWidth="1"/>
    <col min="3" max="3" width="7.89166666666667" style="47" customWidth="1"/>
    <col min="4" max="4" width="6.89166666666667" style="47" customWidth="1"/>
    <col min="5" max="5" width="8.44166666666667" style="47" customWidth="1"/>
    <col min="6" max="6" width="7.44166666666667" style="47" customWidth="1"/>
    <col min="7" max="7" width="9.44166666666667" style="47" customWidth="1"/>
    <col min="8" max="8" width="7" style="47" customWidth="1"/>
    <col min="9" max="9" width="9.89166666666667" style="47" customWidth="1"/>
    <col min="10" max="10" width="5.33333333333333" style="47" customWidth="1"/>
    <col min="11" max="11" width="5.775" style="47" customWidth="1"/>
    <col min="12" max="12" width="5.4" style="47" customWidth="1"/>
    <col min="13" max="13" width="5.35" style="47" customWidth="1"/>
    <col min="14" max="14" width="5.23333333333333" style="47" customWidth="1"/>
    <col min="15" max="15" width="7.10833333333333" style="47" customWidth="1"/>
    <col min="16" max="16" width="6.4" style="47" customWidth="1"/>
    <col min="17" max="17" width="6.23333333333333" style="47" customWidth="1"/>
    <col min="18" max="19" width="5.675" style="47" customWidth="1"/>
    <col min="20" max="20" width="7.10833333333333" style="47" customWidth="1"/>
    <col min="21" max="21" width="7.66666666666667" style="47" customWidth="1"/>
    <col min="22" max="22" width="6.41666666666667" style="47" customWidth="1"/>
    <col min="23" max="23" width="6.76666666666667" style="47" customWidth="1"/>
    <col min="24" max="24" width="7" style="47" customWidth="1"/>
    <col min="25" max="25" width="8.33333333333333" style="47" customWidth="1"/>
    <col min="26" max="26" width="7.44166666666667" style="47" customWidth="1"/>
    <col min="27" max="27" width="9" style="47" customWidth="1"/>
    <col min="28" max="28" width="8.89166666666667" style="47"/>
    <col min="29" max="29" width="11.775" style="47"/>
    <col min="30" max="16384" width="8.89166666666667" style="47"/>
  </cols>
  <sheetData>
    <row r="1" ht="30" customHeight="1" spans="1:27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ht="20" customHeight="1" spans="1:27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3">
        <v>43110</v>
      </c>
      <c r="P2" s="3"/>
      <c r="Q2" s="3"/>
      <c r="R2" s="3"/>
      <c r="S2" s="3"/>
      <c r="T2" s="3"/>
      <c r="U2" s="3"/>
      <c r="V2" s="3"/>
      <c r="W2" s="3"/>
      <c r="X2" s="4"/>
      <c r="Y2" s="4"/>
      <c r="Z2" s="4"/>
      <c r="AA2" s="4"/>
    </row>
    <row r="3" ht="63" customHeight="1" spans="1:27">
      <c r="A3" s="52" t="s">
        <v>1</v>
      </c>
      <c r="B3" s="53" t="s">
        <v>27</v>
      </c>
      <c r="C3" s="53"/>
      <c r="D3" s="53"/>
      <c r="E3" s="53"/>
      <c r="F3" s="53" t="s">
        <v>28</v>
      </c>
      <c r="G3" s="53"/>
      <c r="H3" s="53"/>
      <c r="I3" s="53"/>
      <c r="J3" s="58" t="s">
        <v>29</v>
      </c>
      <c r="K3" s="73"/>
      <c r="L3" s="73"/>
      <c r="M3" s="73"/>
      <c r="N3" s="73"/>
      <c r="O3" s="74"/>
      <c r="P3" s="73" t="s">
        <v>30</v>
      </c>
      <c r="Q3" s="73"/>
      <c r="R3" s="73"/>
      <c r="S3" s="73"/>
      <c r="T3" s="73"/>
      <c r="U3" s="74"/>
      <c r="V3" s="73" t="s">
        <v>31</v>
      </c>
      <c r="W3" s="74"/>
      <c r="X3" s="52" t="s">
        <v>2</v>
      </c>
      <c r="Y3" s="52" t="s">
        <v>3</v>
      </c>
      <c r="Z3" s="52" t="s">
        <v>4</v>
      </c>
      <c r="AA3" s="52" t="s">
        <v>5</v>
      </c>
    </row>
    <row r="4" s="48" customFormat="1" ht="65" customHeight="1" spans="1:27">
      <c r="A4" s="52"/>
      <c r="B4" s="52" t="s">
        <v>32</v>
      </c>
      <c r="C4" s="52" t="s">
        <v>3</v>
      </c>
      <c r="D4" s="52" t="s">
        <v>33</v>
      </c>
      <c r="E4" s="52" t="s">
        <v>34</v>
      </c>
      <c r="F4" s="52" t="s">
        <v>32</v>
      </c>
      <c r="G4" s="52" t="s">
        <v>3</v>
      </c>
      <c r="H4" s="52" t="s">
        <v>33</v>
      </c>
      <c r="I4" s="52" t="s">
        <v>34</v>
      </c>
      <c r="J4" s="52" t="s">
        <v>32</v>
      </c>
      <c r="K4" s="52" t="s">
        <v>3</v>
      </c>
      <c r="L4" s="52" t="s">
        <v>35</v>
      </c>
      <c r="M4" s="52" t="s">
        <v>36</v>
      </c>
      <c r="N4" s="52" t="s">
        <v>37</v>
      </c>
      <c r="O4" s="52" t="s">
        <v>38</v>
      </c>
      <c r="P4" s="52" t="s">
        <v>39</v>
      </c>
      <c r="Q4" s="52" t="s">
        <v>40</v>
      </c>
      <c r="R4" s="52" t="s">
        <v>41</v>
      </c>
      <c r="S4" s="52" t="s">
        <v>42</v>
      </c>
      <c r="T4" s="52" t="s">
        <v>32</v>
      </c>
      <c r="U4" s="52" t="s">
        <v>3</v>
      </c>
      <c r="V4" s="52" t="s">
        <v>43</v>
      </c>
      <c r="W4" s="52" t="s">
        <v>44</v>
      </c>
      <c r="X4" s="52"/>
      <c r="Y4" s="52"/>
      <c r="Z4" s="52"/>
      <c r="AA4" s="52"/>
    </row>
    <row r="5" s="49" customFormat="1" ht="44" customHeight="1" spans="1:27">
      <c r="A5" s="65" t="s">
        <v>45</v>
      </c>
      <c r="B5" s="65">
        <v>9734</v>
      </c>
      <c r="C5" s="66">
        <v>658.75</v>
      </c>
      <c r="D5" s="66">
        <v>4161</v>
      </c>
      <c r="E5" s="66">
        <v>340.96</v>
      </c>
      <c r="F5" s="66">
        <v>5302</v>
      </c>
      <c r="G5" s="66">
        <v>430.1275</v>
      </c>
      <c r="H5" s="66">
        <v>4860</v>
      </c>
      <c r="I5" s="66">
        <v>335.0719</v>
      </c>
      <c r="J5" s="66">
        <f>L5+N5</f>
        <v>1289</v>
      </c>
      <c r="K5" s="71">
        <f>M5+O5</f>
        <v>81.0625</v>
      </c>
      <c r="L5" s="71">
        <f>116+848</f>
        <v>964</v>
      </c>
      <c r="M5" s="71">
        <f>5.85+48.425</f>
        <v>54.275</v>
      </c>
      <c r="N5" s="71">
        <f>29+296</f>
        <v>325</v>
      </c>
      <c r="O5" s="71">
        <f>2.125+24.6625</f>
        <v>26.7875</v>
      </c>
      <c r="P5" s="71">
        <v>330</v>
      </c>
      <c r="Q5" s="71">
        <v>29.1125</v>
      </c>
      <c r="R5" s="71">
        <v>137</v>
      </c>
      <c r="S5" s="71">
        <v>13.5</v>
      </c>
      <c r="T5" s="71">
        <f>P5+R5</f>
        <v>467</v>
      </c>
      <c r="U5" s="71">
        <f>Q5+S5</f>
        <v>42.6125</v>
      </c>
      <c r="V5" s="71">
        <v>225</v>
      </c>
      <c r="W5" s="71">
        <v>21.1325</v>
      </c>
      <c r="X5" s="66">
        <f t="shared" ref="X5:X13" si="0">B5+F5+J5+T5+V5</f>
        <v>17017</v>
      </c>
      <c r="Y5" s="66">
        <f t="shared" ref="Y5:Y13" si="1">C5+G5+K5+U5+W5</f>
        <v>1233.685</v>
      </c>
      <c r="Z5" s="66">
        <f t="shared" ref="Z5:Z13" si="2">D5+H5+L5+N5+T5+V5</f>
        <v>11002</v>
      </c>
      <c r="AA5" s="66">
        <f t="shared" ref="AA5:AA13" si="3">E5+I5+K5+U5+W5</f>
        <v>820.8394</v>
      </c>
    </row>
    <row r="6" s="49" customFormat="1" ht="36" customHeight="1" spans="1:27">
      <c r="A6" s="65" t="s">
        <v>14</v>
      </c>
      <c r="B6" s="65">
        <v>2394</v>
      </c>
      <c r="C6" s="66">
        <v>239.95</v>
      </c>
      <c r="D6" s="66">
        <v>2394</v>
      </c>
      <c r="E6" s="66">
        <v>239.5</v>
      </c>
      <c r="F6" s="66">
        <v>2735</v>
      </c>
      <c r="G6" s="66">
        <v>314.025</v>
      </c>
      <c r="H6" s="66">
        <v>2092</v>
      </c>
      <c r="I6" s="66">
        <v>272.25</v>
      </c>
      <c r="J6" s="66">
        <f t="shared" ref="J6:J13" si="4">L6+N6</f>
        <v>211</v>
      </c>
      <c r="K6" s="71">
        <f t="shared" ref="K6:K13" si="5">M6+O6</f>
        <v>26.175</v>
      </c>
      <c r="L6" s="71">
        <v>76</v>
      </c>
      <c r="M6" s="71">
        <v>9.5</v>
      </c>
      <c r="N6" s="71">
        <v>135</v>
      </c>
      <c r="O6" s="71">
        <v>16.675</v>
      </c>
      <c r="P6" s="71">
        <v>38</v>
      </c>
      <c r="Q6" s="71">
        <v>4.85</v>
      </c>
      <c r="R6" s="71">
        <v>64</v>
      </c>
      <c r="S6" s="71">
        <v>10.775</v>
      </c>
      <c r="T6" s="71">
        <f t="shared" ref="T6:T12" si="6">P6+R6</f>
        <v>102</v>
      </c>
      <c r="U6" s="71">
        <f>Q6+S6</f>
        <v>15.625</v>
      </c>
      <c r="V6" s="71"/>
      <c r="W6" s="71"/>
      <c r="X6" s="66">
        <f t="shared" si="0"/>
        <v>5442</v>
      </c>
      <c r="Y6" s="66">
        <f t="shared" si="1"/>
        <v>595.775</v>
      </c>
      <c r="Z6" s="66">
        <f t="shared" si="2"/>
        <v>4799</v>
      </c>
      <c r="AA6" s="66">
        <f t="shared" si="3"/>
        <v>553.55</v>
      </c>
    </row>
    <row r="7" s="49" customFormat="1" ht="29" customHeight="1" spans="1:27">
      <c r="A7" s="65" t="s">
        <v>16</v>
      </c>
      <c r="B7" s="65">
        <v>2830</v>
      </c>
      <c r="C7" s="66">
        <v>69.64</v>
      </c>
      <c r="D7" s="66">
        <v>2370</v>
      </c>
      <c r="E7" s="67">
        <v>57.268</v>
      </c>
      <c r="F7" s="66">
        <v>2297</v>
      </c>
      <c r="G7" s="66">
        <v>56.526</v>
      </c>
      <c r="H7" s="66">
        <v>2092</v>
      </c>
      <c r="I7" s="66">
        <v>51.006</v>
      </c>
      <c r="J7" s="66">
        <f t="shared" si="4"/>
        <v>0</v>
      </c>
      <c r="K7" s="71">
        <f t="shared" si="5"/>
        <v>0</v>
      </c>
      <c r="L7" s="71"/>
      <c r="M7" s="71"/>
      <c r="N7" s="71"/>
      <c r="O7" s="71"/>
      <c r="P7" s="71"/>
      <c r="Q7" s="71"/>
      <c r="R7" s="71"/>
      <c r="S7" s="71"/>
      <c r="T7" s="71">
        <f t="shared" si="6"/>
        <v>0</v>
      </c>
      <c r="U7" s="71">
        <f t="shared" ref="U6:U12" si="7">Q7+S7</f>
        <v>0</v>
      </c>
      <c r="V7" s="71"/>
      <c r="W7" s="71"/>
      <c r="X7" s="66">
        <f t="shared" si="0"/>
        <v>5127</v>
      </c>
      <c r="Y7" s="66">
        <f t="shared" si="1"/>
        <v>126.166</v>
      </c>
      <c r="Z7" s="66">
        <f t="shared" si="2"/>
        <v>4462</v>
      </c>
      <c r="AA7" s="66">
        <f t="shared" si="3"/>
        <v>108.274</v>
      </c>
    </row>
    <row r="8" s="50" customFormat="1" ht="34" customHeight="1" spans="1:27">
      <c r="A8" s="68" t="s">
        <v>17</v>
      </c>
      <c r="B8" s="68">
        <v>478</v>
      </c>
      <c r="C8" s="69">
        <v>47.8</v>
      </c>
      <c r="D8" s="69">
        <v>124</v>
      </c>
      <c r="E8" s="69">
        <v>12.4</v>
      </c>
      <c r="F8" s="69">
        <v>525</v>
      </c>
      <c r="G8" s="69">
        <v>52.5</v>
      </c>
      <c r="H8" s="69">
        <v>79</v>
      </c>
      <c r="I8" s="69">
        <v>7.9</v>
      </c>
      <c r="J8" s="69">
        <f t="shared" si="4"/>
        <v>0</v>
      </c>
      <c r="K8" s="71">
        <f t="shared" si="5"/>
        <v>0</v>
      </c>
      <c r="L8" s="71"/>
      <c r="M8" s="71"/>
      <c r="N8" s="71"/>
      <c r="O8" s="71"/>
      <c r="P8" s="71"/>
      <c r="Q8" s="71"/>
      <c r="R8" s="71"/>
      <c r="S8" s="71"/>
      <c r="T8" s="71">
        <f t="shared" si="6"/>
        <v>0</v>
      </c>
      <c r="U8" s="71">
        <f t="shared" si="7"/>
        <v>0</v>
      </c>
      <c r="V8" s="71"/>
      <c r="W8" s="71"/>
      <c r="X8" s="69">
        <f t="shared" si="0"/>
        <v>1003</v>
      </c>
      <c r="Y8" s="69">
        <f t="shared" si="1"/>
        <v>100.3</v>
      </c>
      <c r="Z8" s="69">
        <f t="shared" si="2"/>
        <v>203</v>
      </c>
      <c r="AA8" s="69">
        <f t="shared" si="3"/>
        <v>20.3</v>
      </c>
    </row>
    <row r="9" s="50" customFormat="1" ht="29" customHeight="1" spans="1:27">
      <c r="A9" s="68" t="s">
        <v>19</v>
      </c>
      <c r="B9" s="68">
        <v>575</v>
      </c>
      <c r="C9" s="69">
        <v>24.4375</v>
      </c>
      <c r="D9" s="69">
        <v>124</v>
      </c>
      <c r="E9" s="69">
        <v>5.58</v>
      </c>
      <c r="F9" s="69">
        <v>652</v>
      </c>
      <c r="G9" s="69">
        <v>27.71</v>
      </c>
      <c r="H9" s="69">
        <v>80</v>
      </c>
      <c r="I9" s="69">
        <v>3.6</v>
      </c>
      <c r="J9" s="69">
        <f t="shared" si="4"/>
        <v>0</v>
      </c>
      <c r="K9" s="71">
        <f t="shared" si="5"/>
        <v>0</v>
      </c>
      <c r="L9" s="71"/>
      <c r="M9" s="71"/>
      <c r="N9" s="71"/>
      <c r="O9" s="71"/>
      <c r="P9" s="71"/>
      <c r="Q9" s="71"/>
      <c r="R9" s="71"/>
      <c r="S9" s="71"/>
      <c r="T9" s="71">
        <f t="shared" si="6"/>
        <v>0</v>
      </c>
      <c r="U9" s="71">
        <f t="shared" si="7"/>
        <v>0</v>
      </c>
      <c r="V9" s="71"/>
      <c r="W9" s="71"/>
      <c r="X9" s="69">
        <f t="shared" si="0"/>
        <v>1227</v>
      </c>
      <c r="Y9" s="69">
        <f t="shared" si="1"/>
        <v>52.1475</v>
      </c>
      <c r="Z9" s="69">
        <f t="shared" si="2"/>
        <v>204</v>
      </c>
      <c r="AA9" s="69">
        <f t="shared" si="3"/>
        <v>9.18</v>
      </c>
    </row>
    <row r="10" ht="34" customHeight="1" spans="1:27">
      <c r="A10" s="70" t="s">
        <v>46</v>
      </c>
      <c r="B10" s="70">
        <v>341</v>
      </c>
      <c r="C10" s="71">
        <v>17.05</v>
      </c>
      <c r="D10" s="71">
        <v>341</v>
      </c>
      <c r="E10" s="71">
        <v>17.05</v>
      </c>
      <c r="F10" s="71">
        <v>3130</v>
      </c>
      <c r="G10" s="72">
        <v>459.7</v>
      </c>
      <c r="H10" s="71">
        <v>2934</v>
      </c>
      <c r="I10" s="71">
        <v>440.1</v>
      </c>
      <c r="J10" s="71">
        <f t="shared" si="4"/>
        <v>1706</v>
      </c>
      <c r="K10" s="66">
        <f t="shared" si="5"/>
        <v>176.1</v>
      </c>
      <c r="L10" s="71">
        <v>1096</v>
      </c>
      <c r="M10" s="71">
        <v>84.6</v>
      </c>
      <c r="N10" s="71">
        <v>610</v>
      </c>
      <c r="O10" s="71">
        <v>91.5</v>
      </c>
      <c r="P10" s="71">
        <v>626</v>
      </c>
      <c r="Q10" s="71">
        <v>67.075</v>
      </c>
      <c r="R10" s="71"/>
      <c r="S10" s="71"/>
      <c r="T10" s="71">
        <f t="shared" si="6"/>
        <v>626</v>
      </c>
      <c r="U10" s="71">
        <f t="shared" si="7"/>
        <v>67.075</v>
      </c>
      <c r="V10" s="71">
        <v>476</v>
      </c>
      <c r="W10" s="71">
        <v>34.9</v>
      </c>
      <c r="X10" s="71">
        <f t="shared" si="0"/>
        <v>6279</v>
      </c>
      <c r="Y10" s="71">
        <f t="shared" si="1"/>
        <v>754.825</v>
      </c>
      <c r="Z10" s="71">
        <f t="shared" si="2"/>
        <v>6083</v>
      </c>
      <c r="AA10" s="71">
        <f t="shared" si="3"/>
        <v>735.225</v>
      </c>
    </row>
    <row r="11" s="49" customFormat="1" ht="29" customHeight="1" spans="1:27">
      <c r="A11" s="65" t="s">
        <v>47</v>
      </c>
      <c r="B11" s="65"/>
      <c r="C11" s="66"/>
      <c r="D11" s="66"/>
      <c r="E11" s="66"/>
      <c r="F11" s="66">
        <v>680</v>
      </c>
      <c r="G11" s="66">
        <v>408</v>
      </c>
      <c r="H11" s="66">
        <v>558</v>
      </c>
      <c r="I11" s="66">
        <v>334.8</v>
      </c>
      <c r="J11" s="66">
        <f t="shared" si="4"/>
        <v>0</v>
      </c>
      <c r="K11" s="71">
        <f t="shared" si="5"/>
        <v>0</v>
      </c>
      <c r="L11" s="71"/>
      <c r="M11" s="71"/>
      <c r="N11" s="71"/>
      <c r="O11" s="71"/>
      <c r="P11" s="71"/>
      <c r="Q11" s="71"/>
      <c r="R11" s="71"/>
      <c r="S11" s="71"/>
      <c r="T11" s="71">
        <f t="shared" si="6"/>
        <v>0</v>
      </c>
      <c r="U11" s="71">
        <f t="shared" si="7"/>
        <v>0</v>
      </c>
      <c r="V11" s="71"/>
      <c r="W11" s="71"/>
      <c r="X11" s="66">
        <f t="shared" si="0"/>
        <v>680</v>
      </c>
      <c r="Y11" s="66">
        <f t="shared" si="1"/>
        <v>408</v>
      </c>
      <c r="Z11" s="66">
        <f t="shared" si="2"/>
        <v>558</v>
      </c>
      <c r="AA11" s="66">
        <f t="shared" si="3"/>
        <v>334.8</v>
      </c>
    </row>
    <row r="12" s="49" customFormat="1" ht="29" customHeight="1" spans="1:27">
      <c r="A12" s="65" t="s">
        <v>48</v>
      </c>
      <c r="B12" s="65"/>
      <c r="C12" s="66"/>
      <c r="D12" s="66"/>
      <c r="E12" s="66"/>
      <c r="F12" s="66">
        <v>380</v>
      </c>
      <c r="G12" s="66">
        <v>22.3</v>
      </c>
      <c r="H12" s="66">
        <v>360</v>
      </c>
      <c r="I12" s="66">
        <v>19</v>
      </c>
      <c r="J12" s="66">
        <f t="shared" si="4"/>
        <v>0</v>
      </c>
      <c r="K12" s="71">
        <f t="shared" si="5"/>
        <v>0</v>
      </c>
      <c r="L12" s="71"/>
      <c r="M12" s="71"/>
      <c r="N12" s="71"/>
      <c r="O12" s="71"/>
      <c r="P12" s="71"/>
      <c r="Q12" s="71"/>
      <c r="R12" s="71"/>
      <c r="S12" s="71"/>
      <c r="T12" s="71">
        <f t="shared" si="6"/>
        <v>0</v>
      </c>
      <c r="U12" s="71">
        <f t="shared" si="7"/>
        <v>0</v>
      </c>
      <c r="V12" s="71"/>
      <c r="W12" s="71"/>
      <c r="X12" s="66">
        <f t="shared" si="0"/>
        <v>380</v>
      </c>
      <c r="Y12" s="66">
        <f t="shared" si="1"/>
        <v>22.3</v>
      </c>
      <c r="Z12" s="66">
        <f t="shared" si="2"/>
        <v>360</v>
      </c>
      <c r="AA12" s="66">
        <f t="shared" si="3"/>
        <v>19</v>
      </c>
    </row>
    <row r="13" ht="31" customHeight="1" spans="1:27">
      <c r="A13" s="70" t="s">
        <v>49</v>
      </c>
      <c r="B13" s="70">
        <f t="shared" ref="B13:I13" si="8">SUM(B5:B12)</f>
        <v>16352</v>
      </c>
      <c r="C13" s="70">
        <f t="shared" si="8"/>
        <v>1057.6275</v>
      </c>
      <c r="D13" s="70">
        <f t="shared" si="8"/>
        <v>9514</v>
      </c>
      <c r="E13" s="70">
        <f t="shared" si="8"/>
        <v>672.758</v>
      </c>
      <c r="F13" s="70">
        <f t="shared" si="8"/>
        <v>15701</v>
      </c>
      <c r="G13" s="70">
        <f t="shared" si="8"/>
        <v>1770.8885</v>
      </c>
      <c r="H13" s="70">
        <f t="shared" si="8"/>
        <v>13055</v>
      </c>
      <c r="I13" s="70">
        <f t="shared" si="8"/>
        <v>1463.7279</v>
      </c>
      <c r="J13" s="71">
        <f t="shared" si="4"/>
        <v>3206</v>
      </c>
      <c r="K13" s="71">
        <f t="shared" si="5"/>
        <v>283.3375</v>
      </c>
      <c r="L13" s="70">
        <f>SUM(L5:L12)</f>
        <v>2136</v>
      </c>
      <c r="M13" s="70">
        <f>SUM(M5:M12)</f>
        <v>148.375</v>
      </c>
      <c r="N13" s="70">
        <f>SUM(N5:N12)</f>
        <v>1070</v>
      </c>
      <c r="O13" s="70">
        <f>SUM(O5:O12)</f>
        <v>134.9625</v>
      </c>
      <c r="P13" s="70">
        <f t="shared" ref="P13:W13" si="9">SUM(P5:P12)</f>
        <v>994</v>
      </c>
      <c r="Q13" s="70">
        <f t="shared" si="9"/>
        <v>101.0375</v>
      </c>
      <c r="R13" s="70">
        <f t="shared" si="9"/>
        <v>201</v>
      </c>
      <c r="S13" s="70">
        <f t="shared" si="9"/>
        <v>24.275</v>
      </c>
      <c r="T13" s="70">
        <f t="shared" si="9"/>
        <v>1195</v>
      </c>
      <c r="U13" s="70">
        <f t="shared" si="9"/>
        <v>125.3125</v>
      </c>
      <c r="V13" s="70">
        <f t="shared" si="9"/>
        <v>701</v>
      </c>
      <c r="W13" s="70">
        <f t="shared" si="9"/>
        <v>56.0325</v>
      </c>
      <c r="X13" s="71">
        <f t="shared" si="0"/>
        <v>37155</v>
      </c>
      <c r="Y13" s="71">
        <f t="shared" si="1"/>
        <v>3293.1985</v>
      </c>
      <c r="Z13" s="71">
        <f t="shared" si="2"/>
        <v>27671</v>
      </c>
      <c r="AA13" s="71">
        <f t="shared" si="3"/>
        <v>2601.1684</v>
      </c>
    </row>
    <row r="14" ht="21" customHeight="1" spans="1:27">
      <c r="A14" s="52" t="s">
        <v>50</v>
      </c>
      <c r="B14" s="52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>
        <v>3472</v>
      </c>
      <c r="Y14" s="57">
        <v>2780.185</v>
      </c>
      <c r="Z14" s="52"/>
      <c r="AA14" s="52"/>
    </row>
  </sheetData>
  <mergeCells count="12">
    <mergeCell ref="A1:AA1"/>
    <mergeCell ref="O2:AA2"/>
    <mergeCell ref="B3:E3"/>
    <mergeCell ref="F3:I3"/>
    <mergeCell ref="J3:O3"/>
    <mergeCell ref="P3:U3"/>
    <mergeCell ref="V3:W3"/>
    <mergeCell ref="A3:A4"/>
    <mergeCell ref="X3:X4"/>
    <mergeCell ref="Y3:Y4"/>
    <mergeCell ref="Z3:Z4"/>
    <mergeCell ref="AA3:AA4"/>
  </mergeCells>
  <pageMargins left="0.236111111111111" right="0.236111111111111" top="1" bottom="1" header="0.511805555555556" footer="0.511805555555556"/>
  <pageSetup paperSize="9" scale="75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14"/>
  <sheetViews>
    <sheetView topLeftCell="A7" workbookViewId="0">
      <selection activeCell="AD13" sqref="AD13:AE13"/>
    </sheetView>
  </sheetViews>
  <sheetFormatPr defaultColWidth="8.89166666666667" defaultRowHeight="14.25"/>
  <cols>
    <col min="1" max="1" width="10.1083333333333" style="48" customWidth="1"/>
    <col min="2" max="2" width="7.41666666666667" style="48" customWidth="1"/>
    <col min="3" max="3" width="7.89166666666667" style="47" customWidth="1"/>
    <col min="4" max="4" width="6.89166666666667" style="47" customWidth="1"/>
    <col min="5" max="5" width="8.44166666666667" style="47" customWidth="1"/>
    <col min="6" max="6" width="5.33333333333333" style="47" customWidth="1"/>
    <col min="7" max="7" width="6.55833333333333" style="47" customWidth="1"/>
    <col min="8" max="8" width="6.4" style="47" customWidth="1"/>
    <col min="9" max="9" width="9.10833333333333" style="47" customWidth="1"/>
    <col min="10" max="12" width="6.66666666666667" style="47" customWidth="1"/>
    <col min="13" max="15" width="7.775" style="47" customWidth="1"/>
    <col min="16" max="17" width="7.775" style="47" hidden="1" customWidth="1"/>
    <col min="18" max="18" width="6.89166666666667" style="47" customWidth="1"/>
    <col min="19" max="19" width="6.33333333333333" style="47" customWidth="1"/>
    <col min="20" max="21" width="7.775" style="47" hidden="1" customWidth="1"/>
    <col min="22" max="22" width="6.89166666666667" style="47" customWidth="1"/>
    <col min="23" max="23" width="7.10833333333333" style="47" customWidth="1"/>
    <col min="24" max="25" width="7.775" style="47" hidden="1" customWidth="1"/>
    <col min="26" max="26" width="8.44166666666667" style="47" customWidth="1"/>
    <col min="27" max="27" width="7.10833333333333" style="47" customWidth="1"/>
    <col min="28" max="29" width="7.775" style="47" hidden="1" customWidth="1"/>
    <col min="30" max="30" width="8.66666666666667" style="47" customWidth="1"/>
    <col min="31" max="31" width="13.225" style="47" customWidth="1"/>
    <col min="32" max="32" width="7.44166666666667" style="47" customWidth="1"/>
    <col min="33" max="33" width="9" style="47" customWidth="1"/>
    <col min="34" max="34" width="10.5583333333333" style="47" hidden="1" customWidth="1"/>
    <col min="35" max="35" width="13.1083333333333" style="47" hidden="1" customWidth="1"/>
    <col min="36" max="37" width="10.5583333333333" style="47" hidden="1" customWidth="1"/>
    <col min="38" max="38" width="8.89166666666667" style="47" hidden="1" customWidth="1"/>
    <col min="39" max="39" width="10.6666666666667" style="47" hidden="1" customWidth="1"/>
    <col min="40" max="40" width="8.89166666666667" style="47" hidden="1" customWidth="1"/>
    <col min="41" max="16384" width="8.89166666666667" style="47"/>
  </cols>
  <sheetData>
    <row r="1" s="47" customFormat="1" ht="30" customHeight="1" spans="1:33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="47" customFormat="1" ht="20" customHeight="1" spans="1:33">
      <c r="A2" s="51"/>
      <c r="B2" s="51"/>
      <c r="C2" s="51"/>
      <c r="D2" s="51"/>
      <c r="E2" s="51"/>
      <c r="F2" s="51"/>
      <c r="G2" s="51"/>
      <c r="H2" s="3" t="s">
        <v>52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4"/>
      <c r="AF2" s="4"/>
      <c r="AG2" s="4"/>
    </row>
    <row r="3" s="47" customFormat="1" ht="102" customHeight="1" spans="1:36">
      <c r="A3" s="52" t="s">
        <v>1</v>
      </c>
      <c r="B3" s="53" t="s">
        <v>53</v>
      </c>
      <c r="C3" s="52"/>
      <c r="D3" s="52"/>
      <c r="E3" s="52"/>
      <c r="F3" s="53" t="s">
        <v>54</v>
      </c>
      <c r="G3" s="52"/>
      <c r="H3" s="53" t="s">
        <v>55</v>
      </c>
      <c r="I3" s="52"/>
      <c r="J3" s="53" t="s">
        <v>56</v>
      </c>
      <c r="K3" s="52"/>
      <c r="L3" s="53" t="s">
        <v>57</v>
      </c>
      <c r="M3" s="52"/>
      <c r="N3" s="53" t="s">
        <v>58</v>
      </c>
      <c r="O3" s="53"/>
      <c r="P3" s="53"/>
      <c r="Q3" s="52"/>
      <c r="R3" s="58" t="s">
        <v>59</v>
      </c>
      <c r="S3" s="59"/>
      <c r="T3" s="59"/>
      <c r="U3" s="60"/>
      <c r="V3" s="58" t="s">
        <v>60</v>
      </c>
      <c r="W3" s="59"/>
      <c r="X3" s="59"/>
      <c r="Y3" s="60"/>
      <c r="Z3" s="61" t="s">
        <v>61</v>
      </c>
      <c r="AA3" s="62"/>
      <c r="AB3" s="62"/>
      <c r="AC3" s="63"/>
      <c r="AD3" s="52" t="s">
        <v>2</v>
      </c>
      <c r="AE3" s="52" t="s">
        <v>3</v>
      </c>
      <c r="AF3" s="52" t="s">
        <v>4</v>
      </c>
      <c r="AG3" s="52" t="s">
        <v>5</v>
      </c>
      <c r="AH3" s="64" t="s">
        <v>62</v>
      </c>
      <c r="AI3" s="64" t="s">
        <v>63</v>
      </c>
      <c r="AJ3" s="47" t="s">
        <v>64</v>
      </c>
    </row>
    <row r="4" s="48" customFormat="1" ht="65" customHeight="1" spans="1:39">
      <c r="A4" s="52"/>
      <c r="B4" s="52" t="s">
        <v>32</v>
      </c>
      <c r="C4" s="52" t="s">
        <v>3</v>
      </c>
      <c r="D4" s="52" t="s">
        <v>33</v>
      </c>
      <c r="E4" s="52" t="s">
        <v>34</v>
      </c>
      <c r="F4" s="52" t="s">
        <v>32</v>
      </c>
      <c r="G4" s="52" t="s">
        <v>3</v>
      </c>
      <c r="H4" s="52" t="s">
        <v>32</v>
      </c>
      <c r="I4" s="52" t="s">
        <v>3</v>
      </c>
      <c r="J4" s="52" t="s">
        <v>32</v>
      </c>
      <c r="K4" s="52" t="s">
        <v>3</v>
      </c>
      <c r="L4" s="52" t="s">
        <v>32</v>
      </c>
      <c r="M4" s="52" t="s">
        <v>3</v>
      </c>
      <c r="N4" s="52" t="s">
        <v>32</v>
      </c>
      <c r="O4" s="52" t="s">
        <v>3</v>
      </c>
      <c r="P4" s="52" t="s">
        <v>33</v>
      </c>
      <c r="Q4" s="52" t="s">
        <v>34</v>
      </c>
      <c r="R4" s="52" t="s">
        <v>32</v>
      </c>
      <c r="S4" s="52" t="s">
        <v>3</v>
      </c>
      <c r="T4" s="52" t="s">
        <v>33</v>
      </c>
      <c r="U4" s="52" t="s">
        <v>34</v>
      </c>
      <c r="V4" s="52" t="s">
        <v>32</v>
      </c>
      <c r="W4" s="52" t="s">
        <v>3</v>
      </c>
      <c r="X4" s="52" t="s">
        <v>33</v>
      </c>
      <c r="Y4" s="52" t="s">
        <v>34</v>
      </c>
      <c r="Z4" s="52" t="s">
        <v>32</v>
      </c>
      <c r="AA4" s="52" t="s">
        <v>3</v>
      </c>
      <c r="AB4" s="52" t="s">
        <v>33</v>
      </c>
      <c r="AC4" s="52" t="s">
        <v>34</v>
      </c>
      <c r="AD4" s="52"/>
      <c r="AE4" s="52"/>
      <c r="AF4" s="52"/>
      <c r="AG4" s="52"/>
      <c r="AH4" s="64"/>
      <c r="AI4" s="64"/>
      <c r="AJ4" s="48" t="s">
        <v>65</v>
      </c>
      <c r="AK4" s="48" t="s">
        <v>38</v>
      </c>
      <c r="AL4" s="48" t="s">
        <v>66</v>
      </c>
      <c r="AM4" s="48" t="s">
        <v>34</v>
      </c>
    </row>
    <row r="5" s="49" customFormat="1" ht="44" customHeight="1" spans="1:39">
      <c r="A5" s="54" t="s">
        <v>45</v>
      </c>
      <c r="B5" s="54">
        <v>6072</v>
      </c>
      <c r="C5" s="55">
        <v>499.15</v>
      </c>
      <c r="D5" s="55">
        <v>5822</v>
      </c>
      <c r="E5" s="55">
        <v>484.2075</v>
      </c>
      <c r="F5" s="55">
        <v>62</v>
      </c>
      <c r="G5" s="55">
        <v>5.01</v>
      </c>
      <c r="H5" s="55">
        <v>208</v>
      </c>
      <c r="I5" s="55">
        <v>16.795</v>
      </c>
      <c r="J5" s="55">
        <v>1</v>
      </c>
      <c r="K5" s="55">
        <v>0.0875</v>
      </c>
      <c r="L5" s="55">
        <v>808</v>
      </c>
      <c r="M5" s="55">
        <v>34.975</v>
      </c>
      <c r="N5" s="55">
        <v>6293</v>
      </c>
      <c r="O5" s="55">
        <v>524.6625</v>
      </c>
      <c r="P5" s="55">
        <v>6000</v>
      </c>
      <c r="Q5" s="55">
        <v>502.96</v>
      </c>
      <c r="R5" s="55">
        <v>55</v>
      </c>
      <c r="S5" s="55">
        <v>4.0975</v>
      </c>
      <c r="T5" s="55">
        <v>55</v>
      </c>
      <c r="U5" s="55">
        <v>4.0975</v>
      </c>
      <c r="V5" s="55">
        <v>188</v>
      </c>
      <c r="W5" s="55">
        <v>15.7725</v>
      </c>
      <c r="X5" s="55">
        <v>188</v>
      </c>
      <c r="Y5" s="55">
        <v>15.7725</v>
      </c>
      <c r="Z5" s="55">
        <v>59</v>
      </c>
      <c r="AA5" s="55">
        <v>4.7725</v>
      </c>
      <c r="AB5" s="55">
        <v>59</v>
      </c>
      <c r="AC5" s="55">
        <v>4.7725</v>
      </c>
      <c r="AD5" s="55">
        <v>13746</v>
      </c>
      <c r="AE5" s="55">
        <v>1105.3225</v>
      </c>
      <c r="AF5" s="55">
        <v>13203</v>
      </c>
      <c r="AG5" s="55">
        <v>1068.6775</v>
      </c>
      <c r="AH5" s="49">
        <v>56896</v>
      </c>
      <c r="AI5" s="49">
        <v>4026.9075</v>
      </c>
      <c r="AJ5" s="49">
        <v>6536</v>
      </c>
      <c r="AK5" s="49">
        <v>544.5325</v>
      </c>
      <c r="AL5" s="49">
        <v>6243</v>
      </c>
      <c r="AM5" s="49">
        <v>522.83</v>
      </c>
    </row>
    <row r="6" s="49" customFormat="1" ht="36" customHeight="1" spans="1:39">
      <c r="A6" s="54" t="s">
        <v>14</v>
      </c>
      <c r="B6" s="54">
        <v>2610</v>
      </c>
      <c r="C6" s="55">
        <v>316.25</v>
      </c>
      <c r="D6" s="55">
        <v>2333</v>
      </c>
      <c r="E6" s="55">
        <v>291.625</v>
      </c>
      <c r="F6" s="55">
        <v>4</v>
      </c>
      <c r="G6" s="55">
        <v>0.5</v>
      </c>
      <c r="H6" s="55">
        <v>60</v>
      </c>
      <c r="I6" s="55">
        <v>7.625</v>
      </c>
      <c r="J6" s="55">
        <v>1</v>
      </c>
      <c r="K6" s="55">
        <v>0.125</v>
      </c>
      <c r="L6" s="55">
        <v>520</v>
      </c>
      <c r="M6" s="55">
        <v>69.775</v>
      </c>
      <c r="N6" s="55">
        <v>3207</v>
      </c>
      <c r="O6" s="55">
        <v>390.875</v>
      </c>
      <c r="P6" s="55">
        <v>2782</v>
      </c>
      <c r="Q6" s="55">
        <v>347.75</v>
      </c>
      <c r="R6" s="55">
        <v>29</v>
      </c>
      <c r="S6" s="55">
        <v>3.75</v>
      </c>
      <c r="T6" s="55">
        <v>29</v>
      </c>
      <c r="U6" s="55">
        <v>3.75</v>
      </c>
      <c r="V6" s="55">
        <v>99</v>
      </c>
      <c r="W6" s="55">
        <v>12.375</v>
      </c>
      <c r="X6" s="55">
        <v>99</v>
      </c>
      <c r="Y6" s="55">
        <v>12.375</v>
      </c>
      <c r="Z6" s="55">
        <v>285</v>
      </c>
      <c r="AA6" s="55">
        <v>35.625</v>
      </c>
      <c r="AB6" s="55">
        <v>285</v>
      </c>
      <c r="AC6" s="55">
        <v>35.625</v>
      </c>
      <c r="AD6" s="55">
        <v>6815</v>
      </c>
      <c r="AE6" s="55">
        <v>836.9</v>
      </c>
      <c r="AF6" s="55">
        <v>6113</v>
      </c>
      <c r="AG6" s="55">
        <v>769.15</v>
      </c>
      <c r="AH6" s="49">
        <v>21824</v>
      </c>
      <c r="AI6" s="49">
        <v>2379</v>
      </c>
      <c r="AJ6" s="49">
        <v>3335</v>
      </c>
      <c r="AK6" s="49">
        <v>407</v>
      </c>
      <c r="AL6" s="49">
        <v>2910</v>
      </c>
      <c r="AM6" s="49">
        <v>363.875</v>
      </c>
    </row>
    <row r="7" s="49" customFormat="1" ht="29" customHeight="1" spans="1:39">
      <c r="A7" s="54" t="s">
        <v>16</v>
      </c>
      <c r="B7" s="54">
        <v>2554</v>
      </c>
      <c r="C7" s="55">
        <v>93.096</v>
      </c>
      <c r="D7" s="55">
        <v>2330</v>
      </c>
      <c r="E7" s="56">
        <v>84.86</v>
      </c>
      <c r="F7" s="55">
        <v>0</v>
      </c>
      <c r="G7" s="55">
        <v>0</v>
      </c>
      <c r="H7" s="55">
        <v>0</v>
      </c>
      <c r="I7" s="55">
        <v>0</v>
      </c>
      <c r="J7" s="55"/>
      <c r="K7" s="55"/>
      <c r="L7" s="55"/>
      <c r="M7" s="55"/>
      <c r="N7" s="55">
        <v>3066</v>
      </c>
      <c r="O7" s="55">
        <v>107.96</v>
      </c>
      <c r="P7" s="55">
        <v>2783</v>
      </c>
      <c r="Q7" s="55">
        <v>97.662</v>
      </c>
      <c r="R7" s="55">
        <v>0</v>
      </c>
      <c r="S7" s="55">
        <v>0</v>
      </c>
      <c r="T7" s="55"/>
      <c r="U7" s="55"/>
      <c r="V7" s="55"/>
      <c r="W7" s="55"/>
      <c r="X7" s="55"/>
      <c r="Y7" s="55"/>
      <c r="Z7" s="55"/>
      <c r="AA7" s="55"/>
      <c r="AB7" s="55"/>
      <c r="AC7" s="55"/>
      <c r="AD7" s="55">
        <v>5620</v>
      </c>
      <c r="AE7" s="55">
        <v>201.056</v>
      </c>
      <c r="AF7" s="55">
        <v>5113</v>
      </c>
      <c r="AG7" s="55">
        <v>182.522</v>
      </c>
      <c r="AH7" s="49">
        <v>12103</v>
      </c>
      <c r="AI7" s="49">
        <v>375.7</v>
      </c>
      <c r="AJ7" s="49">
        <v>3066</v>
      </c>
      <c r="AK7" s="49">
        <v>107.96</v>
      </c>
      <c r="AL7" s="49">
        <v>2783</v>
      </c>
      <c r="AM7" s="49">
        <v>97.662</v>
      </c>
    </row>
    <row r="8" s="50" customFormat="1" ht="34" customHeight="1" spans="1:39">
      <c r="A8" s="54" t="s">
        <v>17</v>
      </c>
      <c r="B8" s="54">
        <v>342</v>
      </c>
      <c r="C8" s="55">
        <v>34.2</v>
      </c>
      <c r="D8" s="55">
        <v>59</v>
      </c>
      <c r="E8" s="55">
        <v>5.9</v>
      </c>
      <c r="F8" s="55">
        <v>0</v>
      </c>
      <c r="G8" s="55">
        <v>0</v>
      </c>
      <c r="H8" s="55">
        <v>0</v>
      </c>
      <c r="I8" s="55">
        <v>0</v>
      </c>
      <c r="J8" s="55"/>
      <c r="K8" s="55"/>
      <c r="L8" s="55"/>
      <c r="M8" s="55"/>
      <c r="N8" s="55">
        <v>419</v>
      </c>
      <c r="O8" s="55">
        <v>41.9</v>
      </c>
      <c r="P8" s="55">
        <v>83</v>
      </c>
      <c r="Q8" s="55">
        <v>8.3</v>
      </c>
      <c r="R8" s="55">
        <v>1</v>
      </c>
      <c r="S8" s="55">
        <v>0.1</v>
      </c>
      <c r="T8" s="55">
        <v>1</v>
      </c>
      <c r="U8" s="55">
        <v>0.1</v>
      </c>
      <c r="V8" s="55">
        <v>22</v>
      </c>
      <c r="W8" s="55">
        <v>2.2</v>
      </c>
      <c r="X8" s="55">
        <v>3</v>
      </c>
      <c r="Y8" s="55">
        <v>0.3</v>
      </c>
      <c r="Z8" s="55"/>
      <c r="AA8" s="55"/>
      <c r="AB8" s="55"/>
      <c r="AC8" s="55"/>
      <c r="AD8" s="55">
        <v>784</v>
      </c>
      <c r="AE8" s="55">
        <v>78.4</v>
      </c>
      <c r="AF8" s="55">
        <v>146</v>
      </c>
      <c r="AG8" s="55">
        <v>14.6</v>
      </c>
      <c r="AH8" s="50">
        <v>3124</v>
      </c>
      <c r="AI8" s="50">
        <v>312.4</v>
      </c>
      <c r="AJ8" s="49">
        <v>442</v>
      </c>
      <c r="AK8" s="49">
        <v>44.2</v>
      </c>
      <c r="AL8" s="49">
        <v>87</v>
      </c>
      <c r="AM8" s="49">
        <v>8.7</v>
      </c>
    </row>
    <row r="9" s="50" customFormat="1" ht="29" customHeight="1" spans="1:39">
      <c r="A9" s="54" t="s">
        <v>19</v>
      </c>
      <c r="B9" s="54">
        <v>548</v>
      </c>
      <c r="C9" s="55">
        <v>23.29</v>
      </c>
      <c r="D9" s="55">
        <v>84</v>
      </c>
      <c r="E9" s="55">
        <v>3.57</v>
      </c>
      <c r="F9" s="55">
        <v>0</v>
      </c>
      <c r="G9" s="55">
        <v>0</v>
      </c>
      <c r="H9" s="55">
        <v>0</v>
      </c>
      <c r="I9" s="55">
        <v>0</v>
      </c>
      <c r="J9" s="55"/>
      <c r="K9" s="55"/>
      <c r="L9" s="55"/>
      <c r="M9" s="55"/>
      <c r="N9" s="55">
        <v>652</v>
      </c>
      <c r="O9" s="55">
        <v>27.71</v>
      </c>
      <c r="P9" s="55">
        <v>129</v>
      </c>
      <c r="Q9" s="55">
        <v>5.4825</v>
      </c>
      <c r="R9" s="55">
        <v>0</v>
      </c>
      <c r="S9" s="55">
        <v>0</v>
      </c>
      <c r="T9" s="55"/>
      <c r="U9" s="55"/>
      <c r="V9" s="55">
        <v>21</v>
      </c>
      <c r="W9" s="55">
        <v>0.8925</v>
      </c>
      <c r="X9" s="55">
        <v>2</v>
      </c>
      <c r="Y9" s="55">
        <v>0.085</v>
      </c>
      <c r="Z9" s="55"/>
      <c r="AA9" s="55"/>
      <c r="AB9" s="55"/>
      <c r="AC9" s="55"/>
      <c r="AD9" s="55">
        <v>1221</v>
      </c>
      <c r="AE9" s="55">
        <v>51.8925</v>
      </c>
      <c r="AF9" s="55">
        <v>215</v>
      </c>
      <c r="AG9" s="55">
        <v>9.1375</v>
      </c>
      <c r="AH9" s="50">
        <v>4033</v>
      </c>
      <c r="AI9" s="50">
        <v>171.4025</v>
      </c>
      <c r="AJ9" s="49">
        <v>673</v>
      </c>
      <c r="AK9" s="49">
        <v>28.6025</v>
      </c>
      <c r="AL9" s="49">
        <v>131</v>
      </c>
      <c r="AM9" s="49">
        <v>5.5675</v>
      </c>
    </row>
    <row r="10" s="47" customFormat="1" ht="34" customHeight="1" spans="1:39">
      <c r="A10" s="54" t="s">
        <v>46</v>
      </c>
      <c r="B10" s="54">
        <v>5316</v>
      </c>
      <c r="C10" s="55">
        <v>396.55</v>
      </c>
      <c r="D10" s="55">
        <v>5230</v>
      </c>
      <c r="E10" s="55">
        <v>392.25</v>
      </c>
      <c r="F10" s="55">
        <v>84</v>
      </c>
      <c r="G10" s="55">
        <v>6.2</v>
      </c>
      <c r="H10" s="55">
        <v>2075</v>
      </c>
      <c r="I10" s="55">
        <v>148.525</v>
      </c>
      <c r="J10" s="55"/>
      <c r="K10" s="55"/>
      <c r="L10" s="55">
        <v>576</v>
      </c>
      <c r="M10" s="55">
        <v>42</v>
      </c>
      <c r="N10" s="55">
        <v>4127</v>
      </c>
      <c r="O10" s="55">
        <v>305.475</v>
      </c>
      <c r="P10" s="55">
        <v>3843</v>
      </c>
      <c r="Q10" s="55">
        <v>288.225</v>
      </c>
      <c r="R10" s="55">
        <v>144</v>
      </c>
      <c r="S10" s="55">
        <v>11</v>
      </c>
      <c r="T10" s="55">
        <v>144</v>
      </c>
      <c r="U10" s="55">
        <v>11</v>
      </c>
      <c r="V10" s="55">
        <v>432</v>
      </c>
      <c r="W10" s="55">
        <v>32.4</v>
      </c>
      <c r="X10" s="55">
        <v>432</v>
      </c>
      <c r="Y10" s="55">
        <v>32.4</v>
      </c>
      <c r="Z10" s="55">
        <v>315</v>
      </c>
      <c r="AA10" s="55">
        <v>23.625</v>
      </c>
      <c r="AB10" s="55">
        <v>315</v>
      </c>
      <c r="AC10" s="55">
        <v>23.625</v>
      </c>
      <c r="AD10" s="55">
        <v>13069</v>
      </c>
      <c r="AE10" s="55">
        <v>965.775</v>
      </c>
      <c r="AF10" s="55">
        <v>12699</v>
      </c>
      <c r="AG10" s="55">
        <v>944.225</v>
      </c>
      <c r="AH10" s="47">
        <v>21790</v>
      </c>
      <c r="AI10" s="47">
        <v>1964.8</v>
      </c>
      <c r="AJ10" s="49">
        <v>4703</v>
      </c>
      <c r="AK10" s="49">
        <v>348.875</v>
      </c>
      <c r="AL10" s="49">
        <v>4419</v>
      </c>
      <c r="AM10" s="49">
        <v>331.625</v>
      </c>
    </row>
    <row r="11" s="49" customFormat="1" ht="29" customHeight="1" spans="1:39">
      <c r="A11" s="54" t="s">
        <v>47</v>
      </c>
      <c r="B11" s="54">
        <v>3</v>
      </c>
      <c r="C11" s="55">
        <v>1.8</v>
      </c>
      <c r="D11" s="55">
        <v>3</v>
      </c>
      <c r="E11" s="55">
        <v>1.8</v>
      </c>
      <c r="F11" s="55"/>
      <c r="G11" s="55"/>
      <c r="H11" s="55"/>
      <c r="I11" s="55"/>
      <c r="J11" s="55">
        <v>2</v>
      </c>
      <c r="K11" s="55">
        <v>1.2</v>
      </c>
      <c r="L11" s="55"/>
      <c r="M11" s="55"/>
      <c r="N11" s="55">
        <v>843</v>
      </c>
      <c r="O11" s="55">
        <v>505.8</v>
      </c>
      <c r="P11" s="55">
        <v>743</v>
      </c>
      <c r="Q11" s="55">
        <v>445.8</v>
      </c>
      <c r="R11" s="55"/>
      <c r="S11" s="55"/>
      <c r="T11" s="55"/>
      <c r="U11" s="55"/>
      <c r="V11" s="55"/>
      <c r="W11" s="55"/>
      <c r="X11" s="55"/>
      <c r="Y11" s="55"/>
      <c r="Z11" s="55">
        <v>68</v>
      </c>
      <c r="AA11" s="55">
        <v>40.8</v>
      </c>
      <c r="AB11" s="55">
        <v>68</v>
      </c>
      <c r="AC11" s="55">
        <v>40.8</v>
      </c>
      <c r="AD11" s="55">
        <v>916</v>
      </c>
      <c r="AE11" s="55">
        <v>549.6</v>
      </c>
      <c r="AF11" s="55">
        <v>816</v>
      </c>
      <c r="AG11" s="55">
        <v>489.6</v>
      </c>
      <c r="AH11" s="49">
        <v>2264</v>
      </c>
      <c r="AI11" s="49">
        <v>1324.1</v>
      </c>
      <c r="AJ11" s="49">
        <v>843</v>
      </c>
      <c r="AK11" s="49">
        <v>505.8</v>
      </c>
      <c r="AL11" s="49">
        <v>743</v>
      </c>
      <c r="AM11" s="49">
        <v>445.8</v>
      </c>
    </row>
    <row r="12" s="49" customFormat="1" ht="29" customHeight="1" spans="1:39">
      <c r="A12" s="54" t="s">
        <v>48</v>
      </c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>
        <v>500</v>
      </c>
      <c r="O12" s="55">
        <v>29.2</v>
      </c>
      <c r="P12" s="55">
        <v>447</v>
      </c>
      <c r="Q12" s="55">
        <v>26.15</v>
      </c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>
        <v>500</v>
      </c>
      <c r="AE12" s="55">
        <v>29.2</v>
      </c>
      <c r="AF12" s="55">
        <v>447</v>
      </c>
      <c r="AG12" s="55">
        <v>26.15</v>
      </c>
      <c r="AH12" s="49">
        <v>538</v>
      </c>
      <c r="AI12" s="49">
        <v>32.75</v>
      </c>
      <c r="AJ12" s="49">
        <v>500</v>
      </c>
      <c r="AK12" s="49">
        <v>29.2</v>
      </c>
      <c r="AL12" s="49">
        <v>447</v>
      </c>
      <c r="AM12" s="49">
        <v>26.15</v>
      </c>
    </row>
    <row r="13" s="47" customFormat="1" ht="31" customHeight="1" spans="1:39">
      <c r="A13" s="54" t="s">
        <v>49</v>
      </c>
      <c r="B13" s="54">
        <v>17445</v>
      </c>
      <c r="C13" s="54">
        <v>1364.336</v>
      </c>
      <c r="D13" s="54">
        <v>15861</v>
      </c>
      <c r="E13" s="54">
        <v>1264.2125</v>
      </c>
      <c r="F13" s="54">
        <v>150</v>
      </c>
      <c r="G13" s="54">
        <v>11.71</v>
      </c>
      <c r="H13" s="54">
        <v>2343</v>
      </c>
      <c r="I13" s="54">
        <v>172.945</v>
      </c>
      <c r="J13" s="54">
        <v>4</v>
      </c>
      <c r="K13" s="54">
        <v>1.4125</v>
      </c>
      <c r="L13" s="54">
        <v>1904</v>
      </c>
      <c r="M13" s="54">
        <v>146.75</v>
      </c>
      <c r="N13" s="54">
        <v>19107</v>
      </c>
      <c r="O13" s="54">
        <v>1933.5825</v>
      </c>
      <c r="P13" s="54">
        <v>16810</v>
      </c>
      <c r="Q13" s="54">
        <v>1722.3295</v>
      </c>
      <c r="R13" s="54">
        <v>229</v>
      </c>
      <c r="S13" s="54">
        <v>18.9475</v>
      </c>
      <c r="T13" s="54">
        <v>229</v>
      </c>
      <c r="U13" s="54">
        <v>18.9475</v>
      </c>
      <c r="V13" s="54">
        <v>762</v>
      </c>
      <c r="W13" s="54">
        <v>63.64</v>
      </c>
      <c r="X13" s="54">
        <v>724</v>
      </c>
      <c r="Y13" s="54">
        <v>60.9325</v>
      </c>
      <c r="Z13" s="54">
        <v>727</v>
      </c>
      <c r="AA13" s="54">
        <v>104.8225</v>
      </c>
      <c r="AB13" s="54">
        <v>727</v>
      </c>
      <c r="AC13" s="54">
        <v>104.8225</v>
      </c>
      <c r="AD13" s="54">
        <v>42671</v>
      </c>
      <c r="AE13" s="54">
        <v>3818.146</v>
      </c>
      <c r="AF13" s="54">
        <v>38752</v>
      </c>
      <c r="AG13" s="54">
        <v>3504.062</v>
      </c>
      <c r="AH13" s="54">
        <v>122572</v>
      </c>
      <c r="AI13" s="54">
        <v>10587.06</v>
      </c>
      <c r="AJ13" s="54">
        <v>20098</v>
      </c>
      <c r="AK13" s="54">
        <v>2016.17</v>
      </c>
      <c r="AL13" s="54">
        <v>17763</v>
      </c>
      <c r="AM13" s="54">
        <v>1802.2095</v>
      </c>
    </row>
    <row r="14" s="47" customFormat="1" ht="26" customHeight="1" spans="1:35">
      <c r="A14" s="52" t="s">
        <v>50</v>
      </c>
      <c r="B14" s="52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>
        <v>4061</v>
      </c>
      <c r="AE14" s="57">
        <v>3280.0259</v>
      </c>
      <c r="AF14" s="57"/>
      <c r="AG14" s="57"/>
      <c r="AH14" s="47">
        <v>13350</v>
      </c>
      <c r="AI14" s="47">
        <v>10654.7559</v>
      </c>
    </row>
  </sheetData>
  <mergeCells count="18">
    <mergeCell ref="A1:AG1"/>
    <mergeCell ref="H2:AG2"/>
    <mergeCell ref="B3:E3"/>
    <mergeCell ref="F3:G3"/>
    <mergeCell ref="H3:I3"/>
    <mergeCell ref="J3:K3"/>
    <mergeCell ref="L3:M3"/>
    <mergeCell ref="N3:Q3"/>
    <mergeCell ref="R3:U3"/>
    <mergeCell ref="V3:Y3"/>
    <mergeCell ref="Z3:AC3"/>
    <mergeCell ref="A3:A4"/>
    <mergeCell ref="AD3:AD4"/>
    <mergeCell ref="AE3:AE4"/>
    <mergeCell ref="AF3:AF4"/>
    <mergeCell ref="AG3:AG4"/>
    <mergeCell ref="AH3:AH4"/>
    <mergeCell ref="AI3:AI4"/>
  </mergeCells>
  <pageMargins left="0.196527777777778" right="0.156944444444444" top="1" bottom="1" header="0.5" footer="0.5"/>
  <pageSetup paperSize="9" scale="76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16"/>
  <sheetViews>
    <sheetView workbookViewId="0">
      <pane xSplit="1" ySplit="4" topLeftCell="H11" activePane="bottomRight" state="frozen"/>
      <selection/>
      <selection pane="topRight"/>
      <selection pane="bottomLeft"/>
      <selection pane="bottomRight" activeCell="Z14" sqref="Z14:AA14"/>
    </sheetView>
  </sheetViews>
  <sheetFormatPr defaultColWidth="8.89166666666667" defaultRowHeight="13.5"/>
  <cols>
    <col min="1" max="1" width="15" customWidth="1"/>
    <col min="2" max="2" width="5.45" customWidth="1"/>
    <col min="3" max="3" width="6.68333333333333" customWidth="1"/>
    <col min="4" max="4" width="6" customWidth="1"/>
    <col min="5" max="5" width="7.225" customWidth="1"/>
    <col min="6" max="6" width="4.93333333333333" customWidth="1"/>
    <col min="7" max="7" width="7.33333333333333" customWidth="1"/>
    <col min="8" max="8" width="7.75" customWidth="1"/>
    <col min="9" max="9" width="10.1333333333333" customWidth="1"/>
    <col min="10" max="10" width="7.44166666666667" customWidth="1"/>
    <col min="11" max="11" width="9.63333333333333" customWidth="1"/>
    <col min="12" max="12" width="5" customWidth="1"/>
    <col min="13" max="13" width="7.10833333333333" customWidth="1"/>
    <col min="14" max="14" width="4.71666666666667" customWidth="1"/>
    <col min="15" max="15" width="7.89166666666667" customWidth="1"/>
    <col min="16" max="16" width="4.85833333333333" customWidth="1"/>
    <col min="17" max="18" width="6.65833333333333" customWidth="1"/>
    <col min="19" max="19" width="9.44166666666667" customWidth="1"/>
    <col min="20" max="20" width="8.10833333333333" customWidth="1"/>
    <col min="21" max="25" width="9.66666666666667" customWidth="1"/>
    <col min="26" max="26" width="7" customWidth="1"/>
    <col min="27" max="27" width="11.5583333333333" customWidth="1"/>
    <col min="28" max="28" width="7.25833333333333" customWidth="1"/>
    <col min="29" max="29" width="11.775"/>
    <col min="30" max="30" width="9.66666666666667"/>
    <col min="32" max="32" width="9.66666666666667"/>
  </cols>
  <sheetData>
    <row r="1" ht="30" customHeight="1" spans="1:29">
      <c r="A1" s="38" t="s">
        <v>67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ht="36" customHeight="1" spans="5:29">
      <c r="E2" s="39" t="s">
        <v>68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ht="78" customHeight="1" spans="1:29">
      <c r="A3" s="40" t="s">
        <v>69</v>
      </c>
      <c r="B3" s="24" t="s">
        <v>70</v>
      </c>
      <c r="C3" s="24"/>
      <c r="D3" s="24"/>
      <c r="E3" s="24"/>
      <c r="F3" s="24" t="s">
        <v>71</v>
      </c>
      <c r="G3" s="24"/>
      <c r="H3" s="41" t="s">
        <v>72</v>
      </c>
      <c r="I3" s="44"/>
      <c r="J3" s="44"/>
      <c r="K3" s="45"/>
      <c r="L3" s="44" t="s">
        <v>73</v>
      </c>
      <c r="M3" s="45"/>
      <c r="N3" s="44" t="s">
        <v>74</v>
      </c>
      <c r="O3" s="45"/>
      <c r="P3" s="44" t="s">
        <v>75</v>
      </c>
      <c r="Q3" s="45"/>
      <c r="R3" s="44" t="s">
        <v>76</v>
      </c>
      <c r="S3" s="44"/>
      <c r="T3" s="44"/>
      <c r="U3" s="45"/>
      <c r="V3" s="44" t="s">
        <v>77</v>
      </c>
      <c r="W3" s="44"/>
      <c r="X3" s="44"/>
      <c r="Y3" s="45"/>
      <c r="Z3" s="40" t="s">
        <v>78</v>
      </c>
      <c r="AA3" s="40" t="s">
        <v>79</v>
      </c>
      <c r="AB3" s="40" t="s">
        <v>80</v>
      </c>
      <c r="AC3" s="40" t="s">
        <v>81</v>
      </c>
    </row>
    <row r="4" ht="77" customHeight="1" spans="1:29">
      <c r="A4" s="40"/>
      <c r="B4" s="40" t="s">
        <v>82</v>
      </c>
      <c r="C4" s="40" t="s">
        <v>83</v>
      </c>
      <c r="D4" s="40" t="s">
        <v>84</v>
      </c>
      <c r="E4" s="40" t="s">
        <v>85</v>
      </c>
      <c r="F4" s="40" t="s">
        <v>82</v>
      </c>
      <c r="G4" s="40" t="s">
        <v>83</v>
      </c>
      <c r="H4" s="40" t="s">
        <v>86</v>
      </c>
      <c r="I4" s="40" t="s">
        <v>79</v>
      </c>
      <c r="J4" s="40" t="s">
        <v>87</v>
      </c>
      <c r="K4" s="40" t="s">
        <v>88</v>
      </c>
      <c r="L4" s="40" t="s">
        <v>82</v>
      </c>
      <c r="M4" s="40" t="s">
        <v>83</v>
      </c>
      <c r="N4" s="40" t="s">
        <v>82</v>
      </c>
      <c r="O4" s="40" t="s">
        <v>83</v>
      </c>
      <c r="P4" s="40" t="s">
        <v>82</v>
      </c>
      <c r="Q4" s="40" t="s">
        <v>83</v>
      </c>
      <c r="R4" s="40" t="s">
        <v>86</v>
      </c>
      <c r="S4" s="40" t="s">
        <v>79</v>
      </c>
      <c r="T4" s="40" t="s">
        <v>87</v>
      </c>
      <c r="U4" s="40" t="s">
        <v>88</v>
      </c>
      <c r="V4" s="40" t="s">
        <v>82</v>
      </c>
      <c r="W4" s="40" t="s">
        <v>83</v>
      </c>
      <c r="X4" s="40" t="s">
        <v>87</v>
      </c>
      <c r="Y4" s="40" t="s">
        <v>88</v>
      </c>
      <c r="Z4" s="40"/>
      <c r="AA4" s="40"/>
      <c r="AB4" s="40"/>
      <c r="AC4" s="40"/>
    </row>
    <row r="5" s="37" customFormat="1" ht="35" customHeight="1" spans="1:29">
      <c r="A5" s="27" t="s">
        <v>89</v>
      </c>
      <c r="B5" s="27">
        <f>57+53</f>
        <v>110</v>
      </c>
      <c r="C5" s="27">
        <f>42250+46675</f>
        <v>88925</v>
      </c>
      <c r="D5" s="42">
        <f>112+359</f>
        <v>471</v>
      </c>
      <c r="E5" s="42">
        <f>53250+182920</f>
        <v>236170</v>
      </c>
      <c r="F5" s="42">
        <f>56+65</f>
        <v>121</v>
      </c>
      <c r="G5" s="42">
        <f>26500+33625</f>
        <v>60125</v>
      </c>
      <c r="H5" s="42">
        <f>2017+4209</f>
        <v>6226</v>
      </c>
      <c r="I5" s="42">
        <f>1522350+3684725</f>
        <v>5207075</v>
      </c>
      <c r="J5" s="42">
        <f>1909+4094</f>
        <v>6003</v>
      </c>
      <c r="K5" s="42">
        <f>1439750+3586050</f>
        <v>5025800</v>
      </c>
      <c r="L5" s="42">
        <f>67+81</f>
        <v>148</v>
      </c>
      <c r="M5" s="42">
        <f>49450+70205</f>
        <v>119655</v>
      </c>
      <c r="N5" s="42">
        <f>87+153</f>
        <v>240</v>
      </c>
      <c r="O5" s="42">
        <f>64375+131375</f>
        <v>195750</v>
      </c>
      <c r="P5" s="42">
        <f>27+50</f>
        <v>77</v>
      </c>
      <c r="Q5" s="42">
        <f>16950+38325</f>
        <v>55275</v>
      </c>
      <c r="R5" s="42">
        <v>6154</v>
      </c>
      <c r="S5" s="42">
        <v>5191125</v>
      </c>
      <c r="T5" s="42">
        <v>5956</v>
      </c>
      <c r="U5" s="42">
        <v>5039875</v>
      </c>
      <c r="V5" s="42">
        <v>265</v>
      </c>
      <c r="W5" s="42">
        <v>217200</v>
      </c>
      <c r="X5" s="42"/>
      <c r="Y5" s="42"/>
      <c r="Z5" s="42">
        <f>B5+D5+F5+H5+L5+N5+P5+R5+V5</f>
        <v>13812</v>
      </c>
      <c r="AA5" s="42">
        <f>C5+E5+G5+I5+M5+O5+Q5+S5+W5</f>
        <v>11371300</v>
      </c>
      <c r="AB5" s="42">
        <f>B5+D5+F5+J5+L5+N5+P5+T5+V5</f>
        <v>13391</v>
      </c>
      <c r="AC5" s="42">
        <f>C5+E5+G5+K5+M5+O5+Q5+U5+W5</f>
        <v>11038775</v>
      </c>
    </row>
    <row r="6" s="37" customFormat="1" ht="35" customHeight="1" spans="1:29">
      <c r="A6" s="27" t="s">
        <v>90</v>
      </c>
      <c r="B6" s="27"/>
      <c r="C6" s="27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>
        <v>16525</v>
      </c>
      <c r="S6" s="42">
        <v>4413125</v>
      </c>
      <c r="T6" s="42">
        <v>15141</v>
      </c>
      <c r="U6" s="42">
        <v>4036812.5</v>
      </c>
      <c r="V6" s="42">
        <v>1399</v>
      </c>
      <c r="W6" s="42">
        <v>373625</v>
      </c>
      <c r="X6" s="42"/>
      <c r="Y6" s="42"/>
      <c r="Z6" s="42">
        <f t="shared" ref="Z6:Z14" si="0">B6+D6+F6+H6+L6+N6+P6+R6+V6</f>
        <v>17924</v>
      </c>
      <c r="AA6" s="42">
        <f t="shared" ref="AA6:AA14" si="1">C6+E6+G6+I6+M6+O6+Q6+S6+W6</f>
        <v>4786750</v>
      </c>
      <c r="AB6" s="42">
        <f t="shared" ref="AB6:AB14" si="2">B6+D6+F6+J6+L6+N6+P6+T6+V6</f>
        <v>16540</v>
      </c>
      <c r="AC6" s="42">
        <f t="shared" ref="AC6:AC14" si="3">C6+E6+G6+K6+M6+O6+Q6+U6+W6</f>
        <v>4410437.5</v>
      </c>
    </row>
    <row r="7" s="37" customFormat="1" ht="35" customHeight="1" spans="1:29">
      <c r="A7" s="27" t="s">
        <v>91</v>
      </c>
      <c r="B7" s="27">
        <v>76</v>
      </c>
      <c r="C7" s="27">
        <v>95000</v>
      </c>
      <c r="D7" s="42">
        <v>132</v>
      </c>
      <c r="E7" s="42">
        <v>159000</v>
      </c>
      <c r="F7" s="42">
        <v>71</v>
      </c>
      <c r="G7" s="42">
        <v>88750</v>
      </c>
      <c r="H7" s="42">
        <v>3039</v>
      </c>
      <c r="I7" s="42">
        <v>3791250</v>
      </c>
      <c r="J7" s="42">
        <v>2759</v>
      </c>
      <c r="K7" s="42">
        <v>3448750</v>
      </c>
      <c r="L7" s="42">
        <v>95</v>
      </c>
      <c r="M7" s="42">
        <v>118750</v>
      </c>
      <c r="N7" s="42">
        <v>177</v>
      </c>
      <c r="O7" s="42">
        <v>215400</v>
      </c>
      <c r="P7" s="42">
        <v>29</v>
      </c>
      <c r="Q7" s="42">
        <v>31500</v>
      </c>
      <c r="R7" s="42">
        <v>3243</v>
      </c>
      <c r="S7" s="42">
        <v>4030250</v>
      </c>
      <c r="T7" s="42">
        <v>2950</v>
      </c>
      <c r="U7" s="42">
        <v>3687500</v>
      </c>
      <c r="V7" s="42">
        <v>126</v>
      </c>
      <c r="W7" s="42">
        <v>157500</v>
      </c>
      <c r="X7" s="42"/>
      <c r="Y7" s="42"/>
      <c r="Z7" s="42">
        <f t="shared" si="0"/>
        <v>6988</v>
      </c>
      <c r="AA7" s="42">
        <f t="shared" si="1"/>
        <v>8687400</v>
      </c>
      <c r="AB7" s="42">
        <f t="shared" si="2"/>
        <v>6415</v>
      </c>
      <c r="AC7" s="42">
        <f t="shared" si="3"/>
        <v>8002150</v>
      </c>
    </row>
    <row r="8" s="37" customFormat="1" ht="35" customHeight="1" spans="1:29">
      <c r="A8" s="27" t="s">
        <v>92</v>
      </c>
      <c r="B8" s="27"/>
      <c r="C8" s="27"/>
      <c r="D8" s="42"/>
      <c r="E8" s="42"/>
      <c r="F8" s="43"/>
      <c r="G8" s="42"/>
      <c r="H8" s="42">
        <v>3035</v>
      </c>
      <c r="I8" s="42">
        <v>1065300</v>
      </c>
      <c r="J8" s="42">
        <v>2759</v>
      </c>
      <c r="K8" s="42">
        <v>969040</v>
      </c>
      <c r="L8" s="42"/>
      <c r="M8" s="42"/>
      <c r="N8" s="42"/>
      <c r="O8" s="42"/>
      <c r="P8" s="42"/>
      <c r="Q8" s="42"/>
      <c r="R8" s="42">
        <v>3210</v>
      </c>
      <c r="S8" s="42">
        <v>1105340</v>
      </c>
      <c r="T8" s="42">
        <v>2950</v>
      </c>
      <c r="U8" s="42">
        <v>1017940</v>
      </c>
      <c r="V8" s="42">
        <v>1655</v>
      </c>
      <c r="W8" s="42">
        <v>368480</v>
      </c>
      <c r="X8" s="42"/>
      <c r="Y8" s="42"/>
      <c r="Z8" s="42">
        <f t="shared" si="0"/>
        <v>7900</v>
      </c>
      <c r="AA8" s="42">
        <f t="shared" si="1"/>
        <v>2539120</v>
      </c>
      <c r="AB8" s="42">
        <f t="shared" si="2"/>
        <v>7364</v>
      </c>
      <c r="AC8" s="42">
        <f t="shared" si="3"/>
        <v>2355460</v>
      </c>
    </row>
    <row r="9" s="37" customFormat="1" ht="35" customHeight="1" spans="1:29">
      <c r="A9" s="27" t="s">
        <v>93</v>
      </c>
      <c r="B9" s="27"/>
      <c r="C9" s="27"/>
      <c r="D9" s="42"/>
      <c r="E9" s="42"/>
      <c r="F9" s="42"/>
      <c r="G9" s="42"/>
      <c r="H9" s="42">
        <v>400</v>
      </c>
      <c r="I9" s="42">
        <v>400000</v>
      </c>
      <c r="J9" s="42">
        <v>79</v>
      </c>
      <c r="K9" s="42">
        <v>79000</v>
      </c>
      <c r="L9" s="42">
        <v>6</v>
      </c>
      <c r="M9" s="42">
        <v>4275</v>
      </c>
      <c r="N9" s="42"/>
      <c r="O9" s="42"/>
      <c r="P9" s="42">
        <v>121</v>
      </c>
      <c r="Q9" s="42">
        <v>121000</v>
      </c>
      <c r="R9" s="42">
        <v>787</v>
      </c>
      <c r="S9" s="42">
        <v>787000</v>
      </c>
      <c r="T9" s="42">
        <v>87</v>
      </c>
      <c r="U9" s="42">
        <v>87000</v>
      </c>
      <c r="V9" s="42">
        <v>318</v>
      </c>
      <c r="W9" s="42">
        <v>318000</v>
      </c>
      <c r="X9" s="42">
        <v>116</v>
      </c>
      <c r="Y9" s="42">
        <v>116000</v>
      </c>
      <c r="Z9" s="42">
        <f t="shared" si="0"/>
        <v>1632</v>
      </c>
      <c r="AA9" s="42">
        <f t="shared" si="1"/>
        <v>1630275</v>
      </c>
      <c r="AB9" s="42">
        <f>B9+D9+F9+J9+L9+N9+P9+T9+X9</f>
        <v>409</v>
      </c>
      <c r="AC9" s="42">
        <f>C9+E9+G9+K9+M9+O9+Q9+U9+Y9</f>
        <v>407275</v>
      </c>
    </row>
    <row r="10" s="37" customFormat="1" ht="35" customHeight="1" spans="1:29">
      <c r="A10" s="27" t="s">
        <v>94</v>
      </c>
      <c r="B10" s="27"/>
      <c r="C10" s="27"/>
      <c r="D10" s="42"/>
      <c r="E10" s="42"/>
      <c r="F10" s="42"/>
      <c r="G10" s="42"/>
      <c r="H10" s="42">
        <v>528</v>
      </c>
      <c r="I10" s="42">
        <v>224400</v>
      </c>
      <c r="J10" s="42">
        <v>103</v>
      </c>
      <c r="K10" s="42">
        <v>43775</v>
      </c>
      <c r="L10" s="42"/>
      <c r="M10" s="42"/>
      <c r="N10" s="42"/>
      <c r="O10" s="42"/>
      <c r="P10" s="42"/>
      <c r="Q10" s="42"/>
      <c r="R10" s="42">
        <v>968</v>
      </c>
      <c r="S10" s="42">
        <v>411400</v>
      </c>
      <c r="T10" s="42">
        <v>187</v>
      </c>
      <c r="U10" s="42">
        <v>79475</v>
      </c>
      <c r="V10" s="42">
        <v>196</v>
      </c>
      <c r="W10" s="42">
        <v>83300</v>
      </c>
      <c r="X10" s="42">
        <v>116</v>
      </c>
      <c r="Y10" s="42">
        <v>49300</v>
      </c>
      <c r="Z10" s="42">
        <f t="shared" si="0"/>
        <v>1692</v>
      </c>
      <c r="AA10" s="42">
        <f t="shared" si="1"/>
        <v>719100</v>
      </c>
      <c r="AB10" s="42">
        <f>B10+D10+F10+J10+L10+N10+P10+T10+X10</f>
        <v>406</v>
      </c>
      <c r="AC10" s="42">
        <f>C10+E10+G10+K10+M10+O10+Q10+U10+Y10</f>
        <v>172550</v>
      </c>
    </row>
    <row r="11" s="37" customFormat="1" ht="35" customHeight="1" spans="1:29">
      <c r="A11" s="27" t="s">
        <v>95</v>
      </c>
      <c r="B11" s="27">
        <v>429</v>
      </c>
      <c r="C11" s="27">
        <v>321750</v>
      </c>
      <c r="D11" s="42">
        <v>429</v>
      </c>
      <c r="E11" s="42">
        <v>299750</v>
      </c>
      <c r="F11" s="42">
        <v>204</v>
      </c>
      <c r="G11" s="42">
        <v>133250</v>
      </c>
      <c r="H11" s="42">
        <v>4456</v>
      </c>
      <c r="I11" s="42">
        <v>3333000</v>
      </c>
      <c r="J11" s="42">
        <v>4213</v>
      </c>
      <c r="K11" s="42">
        <v>3159750</v>
      </c>
      <c r="L11" s="42">
        <v>441</v>
      </c>
      <c r="M11" s="42">
        <v>330750</v>
      </c>
      <c r="N11" s="42">
        <v>1588</v>
      </c>
      <c r="O11" s="42">
        <v>1189750</v>
      </c>
      <c r="P11" s="42">
        <v>411</v>
      </c>
      <c r="Q11" s="42">
        <v>304500</v>
      </c>
      <c r="R11" s="42">
        <v>3752</v>
      </c>
      <c r="S11" s="42">
        <v>2795500</v>
      </c>
      <c r="T11" s="42">
        <v>3487</v>
      </c>
      <c r="U11" s="42">
        <v>2615250</v>
      </c>
      <c r="V11" s="42">
        <v>783</v>
      </c>
      <c r="W11" s="42">
        <v>586750</v>
      </c>
      <c r="X11" s="42"/>
      <c r="Y11" s="42"/>
      <c r="Z11" s="42">
        <f t="shared" si="0"/>
        <v>12493</v>
      </c>
      <c r="AA11" s="42">
        <f t="shared" si="1"/>
        <v>9295000</v>
      </c>
      <c r="AB11" s="42">
        <f t="shared" si="2"/>
        <v>11985</v>
      </c>
      <c r="AC11" s="42">
        <f>C11+E11+G11+K11+M11+O11+Q11+U11+W11</f>
        <v>8941500</v>
      </c>
    </row>
    <row r="12" s="37" customFormat="1" ht="35" customHeight="1" spans="1:29">
      <c r="A12" s="27" t="s">
        <v>96</v>
      </c>
      <c r="B12" s="27"/>
      <c r="C12" s="27"/>
      <c r="D12" s="42">
        <v>1</v>
      </c>
      <c r="E12" s="42">
        <v>6000</v>
      </c>
      <c r="F12" s="42"/>
      <c r="G12" s="42"/>
      <c r="H12" s="42"/>
      <c r="I12" s="42"/>
      <c r="J12" s="42"/>
      <c r="K12" s="42"/>
      <c r="L12" s="42">
        <v>38</v>
      </c>
      <c r="M12" s="42">
        <v>228000</v>
      </c>
      <c r="N12" s="42">
        <v>43</v>
      </c>
      <c r="O12" s="42">
        <v>258000</v>
      </c>
      <c r="P12" s="42">
        <v>19</v>
      </c>
      <c r="Q12" s="42">
        <v>114000</v>
      </c>
      <c r="R12" s="42">
        <v>867</v>
      </c>
      <c r="S12" s="42">
        <v>5202000</v>
      </c>
      <c r="T12" s="42">
        <v>769</v>
      </c>
      <c r="U12" s="42">
        <v>4590000</v>
      </c>
      <c r="V12" s="42">
        <v>19</v>
      </c>
      <c r="W12" s="42">
        <v>114000</v>
      </c>
      <c r="X12" s="42"/>
      <c r="Y12" s="42"/>
      <c r="Z12" s="42">
        <f t="shared" si="0"/>
        <v>987</v>
      </c>
      <c r="AA12" s="42">
        <f t="shared" si="1"/>
        <v>5922000</v>
      </c>
      <c r="AB12" s="42">
        <f t="shared" si="2"/>
        <v>889</v>
      </c>
      <c r="AC12" s="42">
        <f t="shared" si="3"/>
        <v>5310000</v>
      </c>
    </row>
    <row r="13" s="37" customFormat="1" ht="35" customHeight="1" spans="1:29">
      <c r="A13" s="27" t="s">
        <v>97</v>
      </c>
      <c r="B13" s="27"/>
      <c r="C13" s="27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>
        <v>499</v>
      </c>
      <c r="S13" s="42">
        <v>301500</v>
      </c>
      <c r="T13" s="42">
        <v>445</v>
      </c>
      <c r="U13" s="42">
        <v>26400</v>
      </c>
      <c r="V13" s="42"/>
      <c r="W13" s="42"/>
      <c r="X13" s="42"/>
      <c r="Y13" s="42"/>
      <c r="Z13" s="42">
        <f t="shared" si="0"/>
        <v>499</v>
      </c>
      <c r="AA13" s="42">
        <f t="shared" si="1"/>
        <v>301500</v>
      </c>
      <c r="AB13" s="42">
        <f t="shared" si="2"/>
        <v>445</v>
      </c>
      <c r="AC13" s="42">
        <f t="shared" si="3"/>
        <v>26400</v>
      </c>
    </row>
    <row r="14" s="37" customFormat="1" ht="35" customHeight="1" spans="1:29">
      <c r="A14" s="27" t="s">
        <v>98</v>
      </c>
      <c r="B14" s="27">
        <f t="shared" ref="B14:W14" si="4">SUM(B5:B13)</f>
        <v>615</v>
      </c>
      <c r="C14" s="27">
        <f t="shared" si="4"/>
        <v>505675</v>
      </c>
      <c r="D14" s="27">
        <f t="shared" si="4"/>
        <v>1033</v>
      </c>
      <c r="E14" s="27">
        <f t="shared" si="4"/>
        <v>700920</v>
      </c>
      <c r="F14" s="27">
        <f t="shared" si="4"/>
        <v>396</v>
      </c>
      <c r="G14" s="27">
        <f t="shared" si="4"/>
        <v>282125</v>
      </c>
      <c r="H14" s="27">
        <f t="shared" si="4"/>
        <v>17684</v>
      </c>
      <c r="I14" s="27">
        <f t="shared" si="4"/>
        <v>14021025</v>
      </c>
      <c r="J14" s="27">
        <f t="shared" si="4"/>
        <v>15916</v>
      </c>
      <c r="K14" s="27">
        <f t="shared" si="4"/>
        <v>12726115</v>
      </c>
      <c r="L14" s="27">
        <f t="shared" si="4"/>
        <v>728</v>
      </c>
      <c r="M14" s="27">
        <f t="shared" si="4"/>
        <v>801430</v>
      </c>
      <c r="N14" s="27">
        <f t="shared" si="4"/>
        <v>2048</v>
      </c>
      <c r="O14" s="27">
        <f t="shared" si="4"/>
        <v>1858900</v>
      </c>
      <c r="P14" s="27">
        <f t="shared" si="4"/>
        <v>657</v>
      </c>
      <c r="Q14" s="27">
        <f t="shared" si="4"/>
        <v>626275</v>
      </c>
      <c r="R14" s="27">
        <f t="shared" si="4"/>
        <v>36005</v>
      </c>
      <c r="S14" s="27">
        <f t="shared" si="4"/>
        <v>24237240</v>
      </c>
      <c r="T14" s="27">
        <f t="shared" si="4"/>
        <v>31972</v>
      </c>
      <c r="U14" s="27">
        <f t="shared" si="4"/>
        <v>21180252.5</v>
      </c>
      <c r="V14" s="27">
        <f t="shared" si="4"/>
        <v>4761</v>
      </c>
      <c r="W14" s="27">
        <f t="shared" si="4"/>
        <v>2218855</v>
      </c>
      <c r="X14" s="27"/>
      <c r="Y14" s="27"/>
      <c r="Z14" s="46">
        <f t="shared" si="0"/>
        <v>63927</v>
      </c>
      <c r="AA14" s="46">
        <f t="shared" si="1"/>
        <v>45252445</v>
      </c>
      <c r="AB14" s="42">
        <f t="shared" si="2"/>
        <v>58126</v>
      </c>
      <c r="AC14" s="42">
        <f t="shared" si="3"/>
        <v>40900547.5</v>
      </c>
    </row>
    <row r="15" s="37" customFormat="1" ht="35" customHeight="1" spans="1:29">
      <c r="A15" s="40" t="s">
        <v>99</v>
      </c>
      <c r="B15" s="40"/>
      <c r="C15" s="40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6">
        <v>4615</v>
      </c>
      <c r="AA15" s="46">
        <v>37476260</v>
      </c>
      <c r="AB15" s="42"/>
      <c r="AC15" s="42"/>
    </row>
    <row r="16" hidden="1" spans="26:29">
      <c r="Z16">
        <f>SUM(Z5:Z13)</f>
        <v>63927</v>
      </c>
      <c r="AA16">
        <f>SUM(AA5:AA13)</f>
        <v>45252445</v>
      </c>
      <c r="AB16">
        <f>SUM(AB5:AB13)</f>
        <v>57844</v>
      </c>
      <c r="AC16">
        <f>SUM(AC5:AC13)</f>
        <v>40664547.5</v>
      </c>
    </row>
  </sheetData>
  <mergeCells count="15">
    <mergeCell ref="A1:AC1"/>
    <mergeCell ref="E2:AC2"/>
    <mergeCell ref="B3:E3"/>
    <mergeCell ref="F3:G3"/>
    <mergeCell ref="H3:K3"/>
    <mergeCell ref="L3:M3"/>
    <mergeCell ref="N3:O3"/>
    <mergeCell ref="P3:Q3"/>
    <mergeCell ref="R3:U3"/>
    <mergeCell ref="V3:Y3"/>
    <mergeCell ref="A3:A4"/>
    <mergeCell ref="Z3:Z4"/>
    <mergeCell ref="AA3:AA4"/>
    <mergeCell ref="AB3:AB4"/>
    <mergeCell ref="AC3:AC4"/>
  </mergeCells>
  <pageMargins left="0.747916666666667" right="0.550694444444444" top="0.802777777777778" bottom="0.802777777777778" header="0.5" footer="0.5"/>
  <pageSetup paperSize="9" scale="57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6"/>
  <sheetViews>
    <sheetView workbookViewId="0">
      <pane ySplit="4" topLeftCell="A8" activePane="bottomLeft" state="frozen"/>
      <selection/>
      <selection pane="bottomLeft" activeCell="I15" sqref="I15"/>
    </sheetView>
  </sheetViews>
  <sheetFormatPr defaultColWidth="8.89166666666667" defaultRowHeight="13.5"/>
  <cols>
    <col min="1" max="1" width="11.575" style="16" customWidth="1"/>
    <col min="2" max="2" width="5.53333333333333" style="16" customWidth="1"/>
    <col min="3" max="3" width="5.95" style="16" customWidth="1"/>
    <col min="4" max="4" width="5.25833333333333" style="16" customWidth="1"/>
    <col min="5" max="5" width="6.63333333333333" style="16" customWidth="1"/>
    <col min="6" max="6" width="5.225" style="16" customWidth="1"/>
    <col min="7" max="7" width="6.63333333333333" style="16" customWidth="1"/>
    <col min="8" max="8" width="6" style="16" customWidth="1"/>
    <col min="9" max="9" width="8.66666666666667" style="16" customWidth="1"/>
    <col min="10" max="10" width="6.33333333333333" style="16" customWidth="1"/>
    <col min="11" max="11" width="8.89166666666667" style="16" customWidth="1"/>
    <col min="12" max="12" width="5.10833333333333" style="16" customWidth="1"/>
    <col min="13" max="13" width="8.66666666666667" style="16" customWidth="1"/>
    <col min="14" max="14" width="6.66666666666667" style="16" customWidth="1"/>
    <col min="15" max="15" width="10.0166666666667" style="16" customWidth="1"/>
    <col min="16" max="16" width="8.63333333333333" style="16" customWidth="1"/>
    <col min="17" max="17" width="10.5583333333333" style="16" customWidth="1"/>
    <col min="18" max="18" width="5.775" style="16" customWidth="1"/>
    <col min="19" max="19" width="7.44166666666667" style="16" customWidth="1"/>
    <col min="20" max="20" width="7.10833333333333" style="16" customWidth="1"/>
    <col min="21" max="21" width="9.89166666666667" style="16" customWidth="1"/>
    <col min="22" max="22" width="7.10833333333333" style="16" customWidth="1"/>
    <col min="23" max="23" width="9.44166666666667" style="16" customWidth="1"/>
    <col min="24" max="16384" width="8.89166666666667" style="16"/>
  </cols>
  <sheetData>
    <row r="1" ht="25" customHeight="1" spans="1:23">
      <c r="A1" s="20" t="s">
        <v>100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ht="18" customHeight="1" spans="20:23">
      <c r="T2" s="21" t="s">
        <v>101</v>
      </c>
      <c r="U2" s="21"/>
      <c r="V2" s="21"/>
      <c r="W2" s="21"/>
    </row>
    <row r="3" ht="60" customHeight="1" spans="1:23">
      <c r="A3" s="22" t="s">
        <v>1</v>
      </c>
      <c r="B3" s="22" t="s">
        <v>102</v>
      </c>
      <c r="C3" s="25"/>
      <c r="D3" s="22" t="s">
        <v>103</v>
      </c>
      <c r="E3" s="25"/>
      <c r="F3" s="22" t="s">
        <v>104</v>
      </c>
      <c r="G3" s="25"/>
      <c r="H3" s="22" t="s">
        <v>105</v>
      </c>
      <c r="I3" s="25"/>
      <c r="J3" s="25"/>
      <c r="K3" s="25"/>
      <c r="L3" s="22" t="s">
        <v>106</v>
      </c>
      <c r="M3" s="25"/>
      <c r="N3" s="22" t="s">
        <v>107</v>
      </c>
      <c r="O3" s="25"/>
      <c r="P3" s="25"/>
      <c r="Q3" s="25"/>
      <c r="R3" s="22" t="s">
        <v>108</v>
      </c>
      <c r="S3" s="25"/>
      <c r="T3" s="22" t="s">
        <v>2</v>
      </c>
      <c r="U3" s="22" t="s">
        <v>3</v>
      </c>
      <c r="V3" s="22" t="s">
        <v>4</v>
      </c>
      <c r="W3" s="22" t="s">
        <v>5</v>
      </c>
    </row>
    <row r="4" ht="45" customHeight="1" spans="1:23">
      <c r="A4" s="25"/>
      <c r="B4" s="22" t="s">
        <v>109</v>
      </c>
      <c r="C4" s="22" t="s">
        <v>110</v>
      </c>
      <c r="D4" s="22" t="s">
        <v>109</v>
      </c>
      <c r="E4" s="22" t="s">
        <v>110</v>
      </c>
      <c r="F4" s="22" t="s">
        <v>109</v>
      </c>
      <c r="G4" s="22" t="s">
        <v>110</v>
      </c>
      <c r="H4" s="22" t="s">
        <v>32</v>
      </c>
      <c r="I4" s="22" t="s">
        <v>3</v>
      </c>
      <c r="J4" s="22" t="s">
        <v>33</v>
      </c>
      <c r="K4" s="22" t="s">
        <v>34</v>
      </c>
      <c r="L4" s="22" t="s">
        <v>109</v>
      </c>
      <c r="M4" s="22" t="s">
        <v>110</v>
      </c>
      <c r="N4" s="22" t="s">
        <v>32</v>
      </c>
      <c r="O4" s="22" t="s">
        <v>3</v>
      </c>
      <c r="P4" s="22" t="s">
        <v>33</v>
      </c>
      <c r="Q4" s="22" t="s">
        <v>34</v>
      </c>
      <c r="R4" s="22" t="s">
        <v>109</v>
      </c>
      <c r="S4" s="22" t="s">
        <v>110</v>
      </c>
      <c r="T4" s="25"/>
      <c r="U4" s="25"/>
      <c r="V4" s="25"/>
      <c r="W4" s="25"/>
    </row>
    <row r="5" s="17" customFormat="1" ht="43" customHeight="1" spans="1:23">
      <c r="A5" s="26" t="s">
        <v>111</v>
      </c>
      <c r="B5" s="27">
        <v>10</v>
      </c>
      <c r="C5" s="27">
        <v>7350</v>
      </c>
      <c r="D5" s="27">
        <v>12</v>
      </c>
      <c r="E5" s="27">
        <v>10250</v>
      </c>
      <c r="F5" s="27">
        <v>4</v>
      </c>
      <c r="G5" s="27">
        <v>3250</v>
      </c>
      <c r="H5" s="27">
        <f>1553+4420</f>
        <v>5973</v>
      </c>
      <c r="I5" s="27">
        <f>1166300+3859050</f>
        <v>5025350</v>
      </c>
      <c r="J5" s="27">
        <v>5702</v>
      </c>
      <c r="K5" s="27">
        <f>1093000+3726900</f>
        <v>4819900</v>
      </c>
      <c r="L5" s="27">
        <v>170</v>
      </c>
      <c r="M5" s="27">
        <v>139375</v>
      </c>
      <c r="N5" s="27">
        <f>1345+4297</f>
        <v>5642</v>
      </c>
      <c r="O5" s="27">
        <f>1009600+3736475</f>
        <v>4746075</v>
      </c>
      <c r="P5" s="27">
        <f>1227+4056</f>
        <v>5283</v>
      </c>
      <c r="Q5" s="27">
        <f>926750+3553400</f>
        <v>4480150</v>
      </c>
      <c r="R5" s="27">
        <f>112+55</f>
        <v>167</v>
      </c>
      <c r="S5" s="27">
        <f>93987.5+40600</f>
        <v>134587.5</v>
      </c>
      <c r="T5" s="27">
        <f>B5+D5+F5+H5+N5+L5+R5</f>
        <v>11978</v>
      </c>
      <c r="U5" s="27">
        <f>C5+E5+G5+I5+O5+M5+S5</f>
        <v>10066237.5</v>
      </c>
      <c r="V5" s="27">
        <f>B5+D5+F5+J5+P5+L5+R5</f>
        <v>11348</v>
      </c>
      <c r="W5" s="27">
        <f>C5+E5+G5+K5+Q5+M5+S5</f>
        <v>9594862.5</v>
      </c>
    </row>
    <row r="6" s="17" customFormat="1" ht="39" customHeight="1" spans="1:23">
      <c r="A6" s="26" t="s">
        <v>112</v>
      </c>
      <c r="B6" s="27">
        <v>14</v>
      </c>
      <c r="C6" s="27">
        <v>4187.5</v>
      </c>
      <c r="D6" s="27">
        <v>1</v>
      </c>
      <c r="E6" s="27">
        <v>62.5</v>
      </c>
      <c r="F6" s="27">
        <v>13</v>
      </c>
      <c r="G6" s="27">
        <v>3500</v>
      </c>
      <c r="H6" s="27">
        <f>12293+4826</f>
        <v>17119</v>
      </c>
      <c r="I6" s="27">
        <f>3073250+1508125</f>
        <v>4581375</v>
      </c>
      <c r="J6" s="27">
        <f>11228+4259</f>
        <v>15487</v>
      </c>
      <c r="K6" s="27">
        <f>2807000+1330937.5</f>
        <v>4137937.5</v>
      </c>
      <c r="L6" s="27">
        <v>818</v>
      </c>
      <c r="M6" s="27">
        <v>218937.5</v>
      </c>
      <c r="N6" s="27">
        <f>11455+5071</f>
        <v>16526</v>
      </c>
      <c r="O6" s="27">
        <f>2863750+1584687.5</f>
        <v>4448437.5</v>
      </c>
      <c r="P6" s="27">
        <f>10278+4384</f>
        <v>14662</v>
      </c>
      <c r="Q6" s="27">
        <f>2569500+1370000</f>
        <v>3939500</v>
      </c>
      <c r="R6" s="27">
        <f>283+630</f>
        <v>913</v>
      </c>
      <c r="S6" s="27">
        <f>88437.5+157500</f>
        <v>245937.5</v>
      </c>
      <c r="T6" s="27">
        <f t="shared" ref="T6:T14" si="0">B6+D6+F6+H6+N6+L6+R6</f>
        <v>35404</v>
      </c>
      <c r="U6" s="27">
        <f t="shared" ref="U6:U14" si="1">C6+E6+G6+I6+O6+M6+S6</f>
        <v>9502437.5</v>
      </c>
      <c r="V6" s="27">
        <f t="shared" ref="V6:V14" si="2">B6+D6+F6+J6+P6+L6+R6</f>
        <v>31908</v>
      </c>
      <c r="W6" s="27">
        <f t="shared" ref="W6:W14" si="3">C6+E6+G6+K6+Q6+M6+S6</f>
        <v>8550062.5</v>
      </c>
    </row>
    <row r="7" s="17" customFormat="1" ht="39" customHeight="1" spans="1:23">
      <c r="A7" s="26" t="s">
        <v>14</v>
      </c>
      <c r="B7" s="27">
        <v>9</v>
      </c>
      <c r="C7" s="27">
        <v>11250</v>
      </c>
      <c r="D7" s="27">
        <v>5</v>
      </c>
      <c r="E7" s="27">
        <v>6250</v>
      </c>
      <c r="F7" s="27">
        <v>12</v>
      </c>
      <c r="G7" s="27">
        <v>15000</v>
      </c>
      <c r="H7" s="27">
        <v>3283</v>
      </c>
      <c r="I7" s="27">
        <v>4076000</v>
      </c>
      <c r="J7" s="27">
        <v>2933</v>
      </c>
      <c r="K7" s="27">
        <v>3666250</v>
      </c>
      <c r="L7" s="27">
        <v>60</v>
      </c>
      <c r="M7" s="27">
        <v>75000</v>
      </c>
      <c r="N7" s="27">
        <v>3512</v>
      </c>
      <c r="O7" s="27">
        <v>4337500</v>
      </c>
      <c r="P7" s="27">
        <v>3083</v>
      </c>
      <c r="Q7" s="27">
        <v>3853750</v>
      </c>
      <c r="R7" s="27">
        <v>72</v>
      </c>
      <c r="S7" s="27">
        <v>90000</v>
      </c>
      <c r="T7" s="27">
        <f t="shared" si="0"/>
        <v>6953</v>
      </c>
      <c r="U7" s="27">
        <f t="shared" si="1"/>
        <v>8611000</v>
      </c>
      <c r="V7" s="27">
        <f t="shared" si="2"/>
        <v>6174</v>
      </c>
      <c r="W7" s="27">
        <f t="shared" si="3"/>
        <v>7717500</v>
      </c>
    </row>
    <row r="8" s="17" customFormat="1" ht="35" customHeight="1" spans="1:23">
      <c r="A8" s="26" t="s">
        <v>16</v>
      </c>
      <c r="B8" s="27">
        <v>9</v>
      </c>
      <c r="C8" s="27">
        <v>1620</v>
      </c>
      <c r="D8" s="27">
        <v>3</v>
      </c>
      <c r="E8" s="27">
        <v>540</v>
      </c>
      <c r="F8" s="27"/>
      <c r="G8" s="27"/>
      <c r="H8" s="27">
        <v>3231</v>
      </c>
      <c r="I8" s="27">
        <v>1115480</v>
      </c>
      <c r="J8" s="27">
        <v>2931</v>
      </c>
      <c r="K8" s="27">
        <f>2931*1250</f>
        <v>3663750</v>
      </c>
      <c r="L8" s="27">
        <v>59</v>
      </c>
      <c r="M8" s="27">
        <v>10840</v>
      </c>
      <c r="N8" s="27">
        <v>3413</v>
      </c>
      <c r="O8" s="27">
        <v>1172080</v>
      </c>
      <c r="P8" s="27">
        <v>3084</v>
      </c>
      <c r="Q8" s="27">
        <v>1060600</v>
      </c>
      <c r="R8" s="27">
        <v>72</v>
      </c>
      <c r="S8" s="27">
        <v>12960</v>
      </c>
      <c r="T8" s="27">
        <f t="shared" si="0"/>
        <v>6787</v>
      </c>
      <c r="U8" s="27">
        <f t="shared" si="1"/>
        <v>2313520</v>
      </c>
      <c r="V8" s="27">
        <f t="shared" si="2"/>
        <v>6158</v>
      </c>
      <c r="W8" s="27">
        <f t="shared" si="3"/>
        <v>4750310</v>
      </c>
    </row>
    <row r="9" s="17" customFormat="1" ht="37" customHeight="1" spans="1:23">
      <c r="A9" s="26" t="s">
        <v>17</v>
      </c>
      <c r="B9" s="27">
        <v>7</v>
      </c>
      <c r="C9" s="27">
        <v>7000</v>
      </c>
      <c r="D9" s="27">
        <v>1</v>
      </c>
      <c r="E9" s="27">
        <v>1000</v>
      </c>
      <c r="F9" s="27">
        <v>11</v>
      </c>
      <c r="G9" s="27">
        <v>10687.5</v>
      </c>
      <c r="H9" s="28">
        <v>871</v>
      </c>
      <c r="I9" s="27">
        <v>871000</v>
      </c>
      <c r="J9" s="27">
        <v>199</v>
      </c>
      <c r="K9" s="27">
        <f>J9*1000</f>
        <v>199000</v>
      </c>
      <c r="L9" s="27">
        <v>46</v>
      </c>
      <c r="M9" s="27">
        <v>46000</v>
      </c>
      <c r="N9" s="28">
        <v>1361</v>
      </c>
      <c r="O9" s="27">
        <v>1361000</v>
      </c>
      <c r="P9" s="27">
        <v>346</v>
      </c>
      <c r="Q9" s="27">
        <v>346000</v>
      </c>
      <c r="R9" s="27">
        <v>81</v>
      </c>
      <c r="S9" s="27">
        <v>81000</v>
      </c>
      <c r="T9" s="27">
        <f t="shared" si="0"/>
        <v>2378</v>
      </c>
      <c r="U9" s="27">
        <f t="shared" si="1"/>
        <v>2377687.5</v>
      </c>
      <c r="V9" s="27">
        <f t="shared" si="2"/>
        <v>691</v>
      </c>
      <c r="W9" s="27">
        <f t="shared" si="3"/>
        <v>690687.5</v>
      </c>
    </row>
    <row r="10" s="17" customFormat="1" ht="35" customHeight="1" spans="1:23">
      <c r="A10" s="26" t="s">
        <v>19</v>
      </c>
      <c r="B10" s="27"/>
      <c r="C10" s="27"/>
      <c r="D10" s="27"/>
      <c r="E10" s="27"/>
      <c r="F10" s="27"/>
      <c r="G10" s="27"/>
      <c r="H10" s="28">
        <v>1038</v>
      </c>
      <c r="I10" s="27">
        <v>441150</v>
      </c>
      <c r="J10" s="27">
        <v>232</v>
      </c>
      <c r="K10" s="27">
        <f>J10*425</f>
        <v>98600</v>
      </c>
      <c r="L10" s="27"/>
      <c r="M10" s="27"/>
      <c r="N10" s="28">
        <v>1528</v>
      </c>
      <c r="O10" s="27">
        <v>649400</v>
      </c>
      <c r="P10" s="27">
        <v>373</v>
      </c>
      <c r="Q10" s="27">
        <f>373*425</f>
        <v>158525</v>
      </c>
      <c r="R10" s="27"/>
      <c r="S10" s="27"/>
      <c r="T10" s="27">
        <f t="shared" si="0"/>
        <v>2566</v>
      </c>
      <c r="U10" s="27">
        <f t="shared" si="1"/>
        <v>1090550</v>
      </c>
      <c r="V10" s="27">
        <f t="shared" si="2"/>
        <v>605</v>
      </c>
      <c r="W10" s="27">
        <f t="shared" si="3"/>
        <v>257125</v>
      </c>
    </row>
    <row r="11" s="17" customFormat="1" ht="35" customHeight="1" spans="1:23">
      <c r="A11" s="26" t="s">
        <v>46</v>
      </c>
      <c r="B11" s="27">
        <v>31</v>
      </c>
      <c r="C11" s="27">
        <v>22750</v>
      </c>
      <c r="D11" s="27">
        <v>28</v>
      </c>
      <c r="E11" s="27">
        <v>21000</v>
      </c>
      <c r="F11" s="27">
        <v>58</v>
      </c>
      <c r="G11" s="27">
        <v>43500</v>
      </c>
      <c r="H11" s="27">
        <v>3859</v>
      </c>
      <c r="I11" s="27">
        <v>2865250</v>
      </c>
      <c r="J11" s="27">
        <v>3517</v>
      </c>
      <c r="K11" s="27">
        <v>2637750</v>
      </c>
      <c r="L11" s="27">
        <v>464</v>
      </c>
      <c r="M11" s="27">
        <v>347500</v>
      </c>
      <c r="N11" s="27">
        <v>3348</v>
      </c>
      <c r="O11" s="27">
        <v>2472250</v>
      </c>
      <c r="P11" s="27">
        <v>2986</v>
      </c>
      <c r="Q11" s="27">
        <v>223950</v>
      </c>
      <c r="R11" s="27">
        <v>450</v>
      </c>
      <c r="S11" s="27">
        <v>336750</v>
      </c>
      <c r="T11" s="27">
        <f t="shared" si="0"/>
        <v>8238</v>
      </c>
      <c r="U11" s="27">
        <f t="shared" si="1"/>
        <v>6109000</v>
      </c>
      <c r="V11" s="27">
        <f t="shared" si="2"/>
        <v>7534</v>
      </c>
      <c r="W11" s="27">
        <f t="shared" si="3"/>
        <v>3633200</v>
      </c>
    </row>
    <row r="12" s="17" customFormat="1" ht="35" customHeight="1" spans="1:23">
      <c r="A12" s="26" t="s">
        <v>47</v>
      </c>
      <c r="B12" s="27">
        <v>2</v>
      </c>
      <c r="C12" s="27">
        <v>12000</v>
      </c>
      <c r="D12" s="27">
        <v>2</v>
      </c>
      <c r="E12" s="27">
        <v>12000</v>
      </c>
      <c r="F12" s="27">
        <v>1</v>
      </c>
      <c r="G12" s="27">
        <v>6000</v>
      </c>
      <c r="H12" s="27"/>
      <c r="I12" s="27"/>
      <c r="J12" s="27"/>
      <c r="K12" s="27"/>
      <c r="L12" s="27"/>
      <c r="M12" s="27"/>
      <c r="N12" s="27">
        <v>1037</v>
      </c>
      <c r="O12" s="27">
        <f>N12*6000</f>
        <v>6222000</v>
      </c>
      <c r="P12" s="27">
        <v>919</v>
      </c>
      <c r="Q12" s="27">
        <v>5514000</v>
      </c>
      <c r="R12" s="27"/>
      <c r="S12" s="27"/>
      <c r="T12" s="27">
        <f t="shared" si="0"/>
        <v>1042</v>
      </c>
      <c r="U12" s="27">
        <f t="shared" si="1"/>
        <v>6252000</v>
      </c>
      <c r="V12" s="27">
        <f t="shared" si="2"/>
        <v>924</v>
      </c>
      <c r="W12" s="27">
        <f t="shared" si="3"/>
        <v>5544000</v>
      </c>
    </row>
    <row r="13" s="17" customFormat="1" ht="35" customHeight="1" spans="1:23">
      <c r="A13" s="26" t="s">
        <v>48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>
        <v>410</v>
      </c>
      <c r="O13" s="27">
        <v>242500</v>
      </c>
      <c r="P13" s="27">
        <v>385</v>
      </c>
      <c r="Q13" s="27">
        <v>227500</v>
      </c>
      <c r="R13" s="27"/>
      <c r="S13" s="27"/>
      <c r="T13" s="27">
        <f t="shared" si="0"/>
        <v>410</v>
      </c>
      <c r="U13" s="27">
        <f t="shared" si="1"/>
        <v>242500</v>
      </c>
      <c r="V13" s="27">
        <f t="shared" si="2"/>
        <v>385</v>
      </c>
      <c r="W13" s="27">
        <f t="shared" si="3"/>
        <v>227500</v>
      </c>
    </row>
    <row r="14" s="18" customFormat="1" ht="35" customHeight="1" spans="1:23">
      <c r="A14" s="29" t="s">
        <v>49</v>
      </c>
      <c r="B14" s="30">
        <f t="shared" ref="B14:S14" si="4">SUM(B5:B13)</f>
        <v>82</v>
      </c>
      <c r="C14" s="30">
        <f t="shared" si="4"/>
        <v>66157.5</v>
      </c>
      <c r="D14" s="30">
        <f t="shared" si="4"/>
        <v>52</v>
      </c>
      <c r="E14" s="30">
        <f t="shared" si="4"/>
        <v>51102.5</v>
      </c>
      <c r="F14" s="30">
        <f t="shared" si="4"/>
        <v>99</v>
      </c>
      <c r="G14" s="30">
        <f t="shared" si="4"/>
        <v>81937.5</v>
      </c>
      <c r="H14" s="30">
        <f t="shared" si="4"/>
        <v>35374</v>
      </c>
      <c r="I14" s="30">
        <f t="shared" si="4"/>
        <v>18975605</v>
      </c>
      <c r="J14" s="30">
        <f t="shared" si="4"/>
        <v>31001</v>
      </c>
      <c r="K14" s="30">
        <f t="shared" si="4"/>
        <v>19223187.5</v>
      </c>
      <c r="L14" s="30">
        <f t="shared" si="4"/>
        <v>1617</v>
      </c>
      <c r="M14" s="36">
        <f t="shared" si="4"/>
        <v>837652.5</v>
      </c>
      <c r="N14" s="30">
        <f t="shared" si="4"/>
        <v>36777</v>
      </c>
      <c r="O14" s="30">
        <f t="shared" si="4"/>
        <v>25651242.5</v>
      </c>
      <c r="P14" s="30">
        <f t="shared" si="4"/>
        <v>31121</v>
      </c>
      <c r="Q14" s="30">
        <f t="shared" si="4"/>
        <v>19803975</v>
      </c>
      <c r="R14" s="30">
        <f t="shared" si="4"/>
        <v>1755</v>
      </c>
      <c r="S14" s="30">
        <f t="shared" si="4"/>
        <v>901235</v>
      </c>
      <c r="T14" s="27">
        <f t="shared" si="0"/>
        <v>75756</v>
      </c>
      <c r="U14" s="27">
        <f t="shared" si="1"/>
        <v>46564932.5</v>
      </c>
      <c r="V14" s="27">
        <f t="shared" si="2"/>
        <v>65727</v>
      </c>
      <c r="W14" s="27">
        <f t="shared" si="3"/>
        <v>40965247.5</v>
      </c>
    </row>
    <row r="15" s="19" customFormat="1" ht="35" customHeight="1" spans="1:23">
      <c r="A15" s="31" t="s">
        <v>50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7">
        <v>5371</v>
      </c>
      <c r="U15" s="27">
        <v>43998560</v>
      </c>
      <c r="V15" s="34"/>
      <c r="W15" s="34"/>
    </row>
    <row r="16" ht="15" hidden="1" spans="20:23">
      <c r="T16" s="27">
        <f>B16+D16+F16+H16+N16+L16</f>
        <v>0</v>
      </c>
      <c r="U16" s="27">
        <f>C16+E16+G16+I16+O16+M16</f>
        <v>0</v>
      </c>
      <c r="V16" s="16">
        <v>57844</v>
      </c>
      <c r="W16" s="16">
        <v>40664547.5</v>
      </c>
    </row>
  </sheetData>
  <mergeCells count="14">
    <mergeCell ref="A1:W1"/>
    <mergeCell ref="T2:W2"/>
    <mergeCell ref="B3:C3"/>
    <mergeCell ref="D3:E3"/>
    <mergeCell ref="F3:G3"/>
    <mergeCell ref="H3:K3"/>
    <mergeCell ref="L3:M3"/>
    <mergeCell ref="N3:Q3"/>
    <mergeCell ref="R3:S3"/>
    <mergeCell ref="A3:A4"/>
    <mergeCell ref="T3:T4"/>
    <mergeCell ref="U3:U4"/>
    <mergeCell ref="V3:V4"/>
    <mergeCell ref="W3:W4"/>
  </mergeCells>
  <pageMargins left="0.156944444444444" right="0.118055555555556" top="0.550694444444444" bottom="0.236111111111111" header="0.5" footer="0.156944444444444"/>
  <pageSetup paperSize="8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pane xSplit="1" ySplit="4" topLeftCell="B5" activePane="bottomRight" state="frozen"/>
      <selection/>
      <selection pane="topRight"/>
      <selection pane="bottomLeft"/>
      <selection pane="bottomRight" activeCell="A1" sqref="A1:I1"/>
    </sheetView>
  </sheetViews>
  <sheetFormatPr defaultColWidth="8.89166666666667" defaultRowHeight="13.5"/>
  <cols>
    <col min="1" max="1" width="11.575" style="16" customWidth="1"/>
    <col min="2" max="2" width="7.55833333333333" style="16" customWidth="1"/>
    <col min="3" max="3" width="8.66666666666667" style="16" customWidth="1"/>
    <col min="4" max="4" width="10.225" style="16" customWidth="1"/>
    <col min="5" max="5" width="11.4416666666667" style="16" customWidth="1"/>
    <col min="6" max="6" width="9" style="16" customWidth="1"/>
    <col min="7" max="7" width="14" style="16" customWidth="1"/>
    <col min="8" max="8" width="12.3333333333333" style="16" customWidth="1"/>
    <col min="9" max="9" width="12.4416666666667" style="16" customWidth="1"/>
    <col min="10" max="10" width="10.775" style="16"/>
    <col min="11" max="16370" width="8.89166666666667" style="16"/>
  </cols>
  <sheetData>
    <row r="1" s="16" customFormat="1" ht="25" customHeight="1" spans="1:9">
      <c r="A1" s="20" t="s">
        <v>113</v>
      </c>
      <c r="B1" s="20"/>
      <c r="C1" s="20"/>
      <c r="D1" s="20"/>
      <c r="E1" s="20"/>
      <c r="F1" s="20"/>
      <c r="G1" s="20"/>
      <c r="H1" s="20"/>
      <c r="I1" s="20"/>
    </row>
    <row r="2" s="16" customFormat="1" ht="18" customHeight="1" spans="6:9">
      <c r="F2" s="21" t="s">
        <v>101</v>
      </c>
      <c r="G2" s="21"/>
      <c r="H2" s="21"/>
      <c r="I2" s="21"/>
    </row>
    <row r="3" s="16" customFormat="1" ht="60" customHeight="1" spans="1:9">
      <c r="A3" s="22" t="s">
        <v>1</v>
      </c>
      <c r="B3" s="23" t="s">
        <v>114</v>
      </c>
      <c r="C3" s="24"/>
      <c r="D3" s="24"/>
      <c r="E3" s="24"/>
      <c r="F3" s="22" t="s">
        <v>2</v>
      </c>
      <c r="G3" s="22" t="s">
        <v>3</v>
      </c>
      <c r="H3" s="22" t="s">
        <v>4</v>
      </c>
      <c r="I3" s="22" t="s">
        <v>5</v>
      </c>
    </row>
    <row r="4" s="16" customFormat="1" ht="45" customHeight="1" spans="1:9">
      <c r="A4" s="25"/>
      <c r="B4" s="22" t="s">
        <v>32</v>
      </c>
      <c r="C4" s="22" t="s">
        <v>3</v>
      </c>
      <c r="D4" s="22" t="s">
        <v>33</v>
      </c>
      <c r="E4" s="22" t="s">
        <v>34</v>
      </c>
      <c r="F4" s="25"/>
      <c r="G4" s="25"/>
      <c r="H4" s="25"/>
      <c r="I4" s="25"/>
    </row>
    <row r="5" s="17" customFormat="1" ht="43" customHeight="1" spans="1:9">
      <c r="A5" s="26" t="s">
        <v>111</v>
      </c>
      <c r="B5" s="27">
        <f>1383+4128</f>
        <v>5511</v>
      </c>
      <c r="C5" s="27">
        <f>1038800+3589300</f>
        <v>4628100</v>
      </c>
      <c r="D5" s="27">
        <f>1254+3878</f>
        <v>5132</v>
      </c>
      <c r="E5" s="27">
        <f>946900+3397750</f>
        <v>4344650</v>
      </c>
      <c r="F5" s="27">
        <f>B5</f>
        <v>5511</v>
      </c>
      <c r="G5" s="27">
        <f>C5</f>
        <v>4628100</v>
      </c>
      <c r="H5" s="27">
        <f>D5</f>
        <v>5132</v>
      </c>
      <c r="I5" s="27">
        <f>E5</f>
        <v>4344650</v>
      </c>
    </row>
    <row r="6" s="17" customFormat="1" ht="39" customHeight="1" spans="1:9">
      <c r="A6" s="26" t="s">
        <v>112</v>
      </c>
      <c r="B6" s="27">
        <f>11479+5264</f>
        <v>16743</v>
      </c>
      <c r="C6" s="27">
        <f>2869750+1645000</f>
        <v>4514750</v>
      </c>
      <c r="D6" s="27">
        <f>10269+4568</f>
        <v>14837</v>
      </c>
      <c r="E6" s="27">
        <f>2567250+1427500</f>
        <v>3994750</v>
      </c>
      <c r="F6" s="27">
        <f>B6</f>
        <v>16743</v>
      </c>
      <c r="G6" s="27">
        <f t="shared" ref="G6:G15" si="0">C6</f>
        <v>4514750</v>
      </c>
      <c r="H6" s="27">
        <f t="shared" ref="H6:H13" si="1">D6</f>
        <v>14837</v>
      </c>
      <c r="I6" s="27">
        <f t="shared" ref="I6:I13" si="2">E6</f>
        <v>3994750</v>
      </c>
    </row>
    <row r="7" s="17" customFormat="1" ht="39" customHeight="1" spans="1:9">
      <c r="A7" s="26" t="s">
        <v>14</v>
      </c>
      <c r="B7" s="27">
        <v>3501</v>
      </c>
      <c r="C7" s="27">
        <v>4318000</v>
      </c>
      <c r="D7" s="27">
        <v>3060</v>
      </c>
      <c r="E7" s="27">
        <v>3825000</v>
      </c>
      <c r="F7" s="27">
        <f t="shared" ref="F7:F15" si="3">B7</f>
        <v>3501</v>
      </c>
      <c r="G7" s="27">
        <f t="shared" si="0"/>
        <v>4318000</v>
      </c>
      <c r="H7" s="27">
        <f t="shared" si="1"/>
        <v>3060</v>
      </c>
      <c r="I7" s="27">
        <f t="shared" si="2"/>
        <v>3825000</v>
      </c>
    </row>
    <row r="8" s="17" customFormat="1" ht="35" customHeight="1" spans="1:9">
      <c r="A8" s="26" t="s">
        <v>16</v>
      </c>
      <c r="B8" s="27">
        <v>3394</v>
      </c>
      <c r="C8" s="27">
        <v>1169620</v>
      </c>
      <c r="D8" s="27">
        <v>3060</v>
      </c>
      <c r="E8" s="27">
        <v>1054640</v>
      </c>
      <c r="F8" s="27">
        <f t="shared" si="3"/>
        <v>3394</v>
      </c>
      <c r="G8" s="27">
        <f t="shared" si="0"/>
        <v>1169620</v>
      </c>
      <c r="H8" s="27">
        <f t="shared" si="1"/>
        <v>3060</v>
      </c>
      <c r="I8" s="27">
        <f t="shared" si="2"/>
        <v>1054640</v>
      </c>
    </row>
    <row r="9" s="17" customFormat="1" ht="37" customHeight="1" spans="1:9">
      <c r="A9" s="26" t="s">
        <v>17</v>
      </c>
      <c r="B9" s="28">
        <v>1220</v>
      </c>
      <c r="C9" s="27">
        <v>1220000</v>
      </c>
      <c r="D9" s="27">
        <v>297</v>
      </c>
      <c r="E9" s="27">
        <v>297000</v>
      </c>
      <c r="F9" s="27">
        <f t="shared" si="3"/>
        <v>1220</v>
      </c>
      <c r="G9" s="27">
        <f t="shared" si="0"/>
        <v>1220000</v>
      </c>
      <c r="H9" s="27">
        <f t="shared" si="1"/>
        <v>297</v>
      </c>
      <c r="I9" s="27">
        <f t="shared" si="2"/>
        <v>297000</v>
      </c>
    </row>
    <row r="10" s="17" customFormat="1" ht="35" customHeight="1" spans="1:9">
      <c r="A10" s="26" t="s">
        <v>19</v>
      </c>
      <c r="B10" s="28">
        <v>1389</v>
      </c>
      <c r="C10" s="27">
        <v>590325</v>
      </c>
      <c r="D10" s="27">
        <v>326</v>
      </c>
      <c r="E10" s="27">
        <v>138550</v>
      </c>
      <c r="F10" s="27">
        <f t="shared" si="3"/>
        <v>1389</v>
      </c>
      <c r="G10" s="27">
        <f t="shared" si="0"/>
        <v>590325</v>
      </c>
      <c r="H10" s="27">
        <f t="shared" si="1"/>
        <v>326</v>
      </c>
      <c r="I10" s="27">
        <f t="shared" si="2"/>
        <v>138550</v>
      </c>
    </row>
    <row r="11" s="17" customFormat="1" ht="35" customHeight="1" spans="1:9">
      <c r="A11" s="26" t="s">
        <v>46</v>
      </c>
      <c r="B11" s="27">
        <v>3711</v>
      </c>
      <c r="C11" s="27">
        <v>2738000</v>
      </c>
      <c r="D11" s="27">
        <v>3295</v>
      </c>
      <c r="E11" s="27">
        <v>2471250</v>
      </c>
      <c r="F11" s="27">
        <f t="shared" si="3"/>
        <v>3711</v>
      </c>
      <c r="G11" s="27">
        <f t="shared" si="0"/>
        <v>2738000</v>
      </c>
      <c r="H11" s="27">
        <f t="shared" si="1"/>
        <v>3295</v>
      </c>
      <c r="I11" s="27">
        <f t="shared" si="2"/>
        <v>2471250</v>
      </c>
    </row>
    <row r="12" s="17" customFormat="1" ht="35" customHeight="1" spans="1:9">
      <c r="A12" s="26" t="s">
        <v>47</v>
      </c>
      <c r="B12" s="27"/>
      <c r="C12" s="27"/>
      <c r="D12" s="27"/>
      <c r="E12" s="27"/>
      <c r="F12" s="27"/>
      <c r="G12" s="27"/>
      <c r="H12" s="27"/>
      <c r="I12" s="27"/>
    </row>
    <row r="13" s="17" customFormat="1" ht="35" customHeight="1" spans="1:9">
      <c r="A13" s="26" t="s">
        <v>48</v>
      </c>
      <c r="B13" s="27"/>
      <c r="C13" s="27"/>
      <c r="D13" s="27"/>
      <c r="E13" s="27"/>
      <c r="F13" s="27"/>
      <c r="G13" s="27"/>
      <c r="H13" s="27"/>
      <c r="I13" s="27"/>
    </row>
    <row r="14" s="18" customFormat="1" ht="35" customHeight="1" spans="1:9">
      <c r="A14" s="29" t="s">
        <v>49</v>
      </c>
      <c r="B14" s="30">
        <f>SUM(B5:B13)</f>
        <v>35469</v>
      </c>
      <c r="C14" s="30">
        <f t="shared" ref="C14:I14" si="4">SUM(C5:C13)</f>
        <v>19178795</v>
      </c>
      <c r="D14" s="30">
        <f t="shared" si="4"/>
        <v>30007</v>
      </c>
      <c r="E14" s="30">
        <f t="shared" si="4"/>
        <v>16125840</v>
      </c>
      <c r="F14" s="30">
        <f t="shared" si="4"/>
        <v>35469</v>
      </c>
      <c r="G14" s="30">
        <f t="shared" si="4"/>
        <v>19178795</v>
      </c>
      <c r="H14" s="30">
        <f t="shared" si="4"/>
        <v>30007</v>
      </c>
      <c r="I14" s="30">
        <f t="shared" si="4"/>
        <v>16125840</v>
      </c>
    </row>
    <row r="15" s="19" customFormat="1" ht="35" customHeight="1" spans="1:10">
      <c r="A15" s="31" t="s">
        <v>50</v>
      </c>
      <c r="B15" s="32"/>
      <c r="C15" s="32"/>
      <c r="D15" s="32"/>
      <c r="E15" s="32"/>
      <c r="F15" s="27">
        <v>5746</v>
      </c>
      <c r="G15" s="33">
        <v>47501632</v>
      </c>
      <c r="H15" s="34"/>
      <c r="I15" s="34"/>
      <c r="J15" s="35"/>
    </row>
    <row r="16" s="16" customFormat="1" ht="15" hidden="1" spans="6:9">
      <c r="F16" s="27" t="e">
        <f>#REF!+#REF!+#REF!+B16+#REF!+#REF!</f>
        <v>#REF!</v>
      </c>
      <c r="G16" s="27" t="e">
        <f>#REF!+#REF!+#REF!+C16+#REF!+#REF!</f>
        <v>#REF!</v>
      </c>
      <c r="H16" s="16">
        <v>57844</v>
      </c>
      <c r="I16" s="16">
        <v>40664547.5</v>
      </c>
    </row>
  </sheetData>
  <mergeCells count="8">
    <mergeCell ref="A1:I1"/>
    <mergeCell ref="F2:I2"/>
    <mergeCell ref="B3:E3"/>
    <mergeCell ref="A3:A4"/>
    <mergeCell ref="F3:F4"/>
    <mergeCell ref="G3:G4"/>
    <mergeCell ref="H3:H4"/>
    <mergeCell ref="I3:I4"/>
  </mergeCells>
  <pageMargins left="0.156944444444444" right="0.196527777777778" top="0.590277777777778" bottom="0.354166666666667" header="0.5" footer="0.31458333333333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K13" sqref="K13"/>
    </sheetView>
  </sheetViews>
  <sheetFormatPr defaultColWidth="8.89166666666667" defaultRowHeight="18.75" outlineLevelCol="4"/>
  <cols>
    <col min="1" max="3" width="15.5583333333333" style="9" customWidth="1"/>
    <col min="4" max="4" width="14" style="9" customWidth="1"/>
    <col min="5" max="5" width="25.5583333333333" style="9" customWidth="1"/>
    <col min="6" max="6" width="8.89166666666667" style="9"/>
    <col min="7" max="7" width="12.8916666666667" style="9"/>
    <col min="8" max="16384" width="8.89166666666667" style="9"/>
  </cols>
  <sheetData>
    <row r="1" ht="25" customHeight="1" spans="1:5">
      <c r="A1" s="10" t="s">
        <v>115</v>
      </c>
      <c r="B1" s="10"/>
      <c r="C1" s="10"/>
      <c r="D1" s="10"/>
      <c r="E1" s="10"/>
    </row>
    <row r="2" ht="25" customHeight="1" spans="4:4">
      <c r="D2" s="9" t="s">
        <v>52</v>
      </c>
    </row>
    <row r="3" ht="25" customHeight="1" spans="1:5">
      <c r="A3" s="11" t="s">
        <v>116</v>
      </c>
      <c r="B3" s="11" t="s">
        <v>117</v>
      </c>
      <c r="C3" s="11"/>
      <c r="D3" s="11" t="s">
        <v>118</v>
      </c>
      <c r="E3" s="11"/>
    </row>
    <row r="4" ht="25" customHeight="1" spans="1:5">
      <c r="A4" s="11"/>
      <c r="B4" s="11" t="s">
        <v>43</v>
      </c>
      <c r="C4" s="11" t="s">
        <v>44</v>
      </c>
      <c r="D4" s="11" t="s">
        <v>43</v>
      </c>
      <c r="E4" s="11" t="s">
        <v>44</v>
      </c>
    </row>
    <row r="5" ht="25" customHeight="1" spans="1:5">
      <c r="A5" s="12">
        <v>2016</v>
      </c>
      <c r="B5" s="13">
        <v>23054</v>
      </c>
      <c r="C5" s="13">
        <v>1931.2305</v>
      </c>
      <c r="D5" s="12">
        <v>3135</v>
      </c>
      <c r="E5" s="12">
        <v>2488.73</v>
      </c>
    </row>
    <row r="6" ht="25" customHeight="1" spans="1:5">
      <c r="A6" s="12">
        <v>2017</v>
      </c>
      <c r="B6" s="12">
        <v>37155</v>
      </c>
      <c r="C6" s="12">
        <v>3293.1985</v>
      </c>
      <c r="D6" s="5">
        <v>3472</v>
      </c>
      <c r="E6" s="5">
        <v>2780.185</v>
      </c>
    </row>
    <row r="7" ht="25" customHeight="1" spans="1:5">
      <c r="A7" s="12">
        <v>2018</v>
      </c>
      <c r="B7" s="12">
        <v>42671</v>
      </c>
      <c r="C7" s="12">
        <v>3818.146</v>
      </c>
      <c r="D7" s="5">
        <v>4061</v>
      </c>
      <c r="E7" s="5">
        <v>3280.0259</v>
      </c>
    </row>
    <row r="8" ht="25" customHeight="1" spans="1:5">
      <c r="A8" s="12">
        <v>2019</v>
      </c>
      <c r="B8" s="12">
        <v>63927</v>
      </c>
      <c r="C8" s="12">
        <v>4525.2445</v>
      </c>
      <c r="D8" s="14">
        <v>4615</v>
      </c>
      <c r="E8" s="14">
        <v>3747.626</v>
      </c>
    </row>
    <row r="9" ht="25" customHeight="1" spans="1:5">
      <c r="A9" s="12">
        <v>2020</v>
      </c>
      <c r="B9" s="12">
        <v>75756</v>
      </c>
      <c r="C9" s="12">
        <v>4656.49325</v>
      </c>
      <c r="D9" s="15">
        <v>5371</v>
      </c>
      <c r="E9" s="15">
        <v>4399.856</v>
      </c>
    </row>
    <row r="10" ht="25" customHeight="1" spans="1:5">
      <c r="A10" s="12">
        <v>2021</v>
      </c>
      <c r="B10" s="12">
        <v>35469</v>
      </c>
      <c r="C10" s="12">
        <v>1917.8795</v>
      </c>
      <c r="D10" s="15">
        <v>5545</v>
      </c>
      <c r="E10" s="15">
        <v>4569.9532</v>
      </c>
    </row>
    <row r="11" ht="27" customHeight="1" spans="1:5">
      <c r="A11" s="12" t="s">
        <v>49</v>
      </c>
      <c r="B11" s="12">
        <v>278032</v>
      </c>
      <c r="C11" s="12">
        <v>20142.19225</v>
      </c>
      <c r="D11" s="12">
        <f>SUM(D5:D10)</f>
        <v>26199</v>
      </c>
      <c r="E11" s="12">
        <f>SUM(E5:E10)</f>
        <v>21266.3761</v>
      </c>
    </row>
  </sheetData>
  <mergeCells count="5">
    <mergeCell ref="A1:E1"/>
    <mergeCell ref="D2:E2"/>
    <mergeCell ref="B3:C3"/>
    <mergeCell ref="D3:E3"/>
    <mergeCell ref="A3:A4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E11" sqref="E11"/>
    </sheetView>
  </sheetViews>
  <sheetFormatPr defaultColWidth="8.89166666666667" defaultRowHeight="27" customHeight="1" outlineLevelCol="5"/>
  <cols>
    <col min="1" max="1" width="25.775" style="1" customWidth="1"/>
    <col min="2" max="2" width="15.3333333333333" style="1" customWidth="1"/>
    <col min="3" max="3" width="14.4416666666667" style="1" customWidth="1"/>
    <col min="4" max="4" width="21.6666666666667" style="1" customWidth="1"/>
    <col min="5" max="5" width="22" style="1" customWidth="1"/>
    <col min="6" max="6" width="32.4416666666667" style="1" customWidth="1"/>
    <col min="7" max="16384" width="8.89166666666667" style="1"/>
  </cols>
  <sheetData>
    <row r="1" ht="45" customHeight="1" spans="1:6">
      <c r="A1" s="2" t="s">
        <v>119</v>
      </c>
      <c r="B1" s="2"/>
      <c r="C1" s="2"/>
      <c r="D1" s="2"/>
      <c r="E1" s="2"/>
      <c r="F1" s="2"/>
    </row>
    <row r="2" customHeight="1" spans="1:6">
      <c r="A2" s="2"/>
      <c r="B2" s="2"/>
      <c r="C2" s="2"/>
      <c r="D2" s="2"/>
      <c r="E2" s="3">
        <v>43748</v>
      </c>
      <c r="F2" s="4"/>
    </row>
    <row r="3" customHeight="1" spans="1:6">
      <c r="A3" s="5" t="s">
        <v>1</v>
      </c>
      <c r="B3" s="5" t="s">
        <v>32</v>
      </c>
      <c r="C3" s="5" t="s">
        <v>3</v>
      </c>
      <c r="D3" s="6" t="s">
        <v>33</v>
      </c>
      <c r="E3" s="6" t="s">
        <v>34</v>
      </c>
      <c r="F3" s="5" t="s">
        <v>120</v>
      </c>
    </row>
    <row r="4" ht="58" customHeight="1" spans="1:6">
      <c r="A4" s="7" t="s">
        <v>121</v>
      </c>
      <c r="B4" s="5">
        <v>22679</v>
      </c>
      <c r="C4" s="5">
        <v>9604250</v>
      </c>
      <c r="D4" s="5">
        <v>21097</v>
      </c>
      <c r="E4" s="5">
        <v>9076687.5</v>
      </c>
      <c r="F4" s="5" t="s">
        <v>122</v>
      </c>
    </row>
    <row r="5" ht="36" customHeight="1" spans="1:6">
      <c r="A5" s="7" t="s">
        <v>14</v>
      </c>
      <c r="B5" s="5">
        <v>3243</v>
      </c>
      <c r="C5" s="8">
        <v>4030250</v>
      </c>
      <c r="D5" s="8">
        <v>2950</v>
      </c>
      <c r="E5" s="8">
        <v>3687500</v>
      </c>
      <c r="F5" s="5" t="s">
        <v>123</v>
      </c>
    </row>
    <row r="6" ht="36" customHeight="1" spans="1:6">
      <c r="A6" s="7" t="s">
        <v>16</v>
      </c>
      <c r="B6" s="5">
        <v>3210</v>
      </c>
      <c r="C6" s="5">
        <v>1105340</v>
      </c>
      <c r="D6" s="5">
        <v>2950</v>
      </c>
      <c r="E6" s="5">
        <v>1017940</v>
      </c>
      <c r="F6" s="5" t="s">
        <v>124</v>
      </c>
    </row>
    <row r="7" ht="36" customHeight="1" spans="1:6">
      <c r="A7" s="7" t="s">
        <v>17</v>
      </c>
      <c r="B7" s="8">
        <v>787</v>
      </c>
      <c r="C7" s="8">
        <v>787000</v>
      </c>
      <c r="D7" s="5">
        <v>87</v>
      </c>
      <c r="E7" s="5">
        <v>87000</v>
      </c>
      <c r="F7" s="5" t="s">
        <v>125</v>
      </c>
    </row>
    <row r="8" ht="36" customHeight="1" spans="1:6">
      <c r="A8" s="7" t="s">
        <v>19</v>
      </c>
      <c r="B8" s="5">
        <v>968</v>
      </c>
      <c r="C8" s="5">
        <v>411400</v>
      </c>
      <c r="D8" s="5">
        <v>187</v>
      </c>
      <c r="E8" s="5">
        <v>79475</v>
      </c>
      <c r="F8" s="5" t="s">
        <v>126</v>
      </c>
    </row>
    <row r="9" ht="36" customHeight="1" spans="1:6">
      <c r="A9" s="7" t="s">
        <v>46</v>
      </c>
      <c r="B9" s="5">
        <v>3752</v>
      </c>
      <c r="C9" s="5">
        <v>2795500</v>
      </c>
      <c r="D9" s="5">
        <v>3487</v>
      </c>
      <c r="E9" s="5">
        <v>2615250</v>
      </c>
      <c r="F9" s="5" t="s">
        <v>127</v>
      </c>
    </row>
    <row r="10" ht="36" customHeight="1" spans="1:6">
      <c r="A10" s="7" t="s">
        <v>49</v>
      </c>
      <c r="B10" s="5">
        <f>SUM(B4:B9)</f>
        <v>34639</v>
      </c>
      <c r="C10" s="5">
        <f>SUM(C4:C9)</f>
        <v>18733740</v>
      </c>
      <c r="D10" s="5">
        <f>SUM(D4:D9)</f>
        <v>30758</v>
      </c>
      <c r="E10" s="5">
        <f>SUM(E4:E9)</f>
        <v>16563852.5</v>
      </c>
      <c r="F10" s="5" t="s">
        <v>128</v>
      </c>
    </row>
  </sheetData>
  <mergeCells count="2">
    <mergeCell ref="A1:F1"/>
    <mergeCell ref="E2:F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2016年</vt:lpstr>
      <vt:lpstr>2017年</vt:lpstr>
      <vt:lpstr>2018年</vt:lpstr>
      <vt:lpstr>2019年</vt:lpstr>
      <vt:lpstr>2020年</vt:lpstr>
      <vt:lpstr>2021年</vt:lpstr>
      <vt:lpstr>Sheet1</vt:lpstr>
      <vt:lpstr>2019秋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2017-12-16T09:00:00Z</dcterms:created>
  <dcterms:modified xsi:type="dcterms:W3CDTF">2021-09-27T02:26:21Z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8381F9A73958490E916FABD307BFCD0B</vt:lpwstr>
  </property>
</Properties>
</file>